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ailit.sharepoint.com/CGT/Shared Documents/Rhode Island/2021-2022/Quality Reporting/Data Submission Template/"/>
    </mc:Choice>
  </mc:AlternateContent>
  <xr:revisionPtr revIDLastSave="139" documentId="8_{0FBD7A64-AECB-49E6-A425-A581EB7A55CB}" xr6:coauthVersionLast="47" xr6:coauthVersionMax="47" xr10:uidLastSave="{474A12A9-DC7B-4548-8A75-342614013D9F}"/>
  <bookViews>
    <workbookView xWindow="-60" yWindow="16080" windowWidth="29040" windowHeight="15840" xr2:uid="{0124D106-0DDE-4428-8C2F-A089B6579B23}"/>
  </bookViews>
  <sheets>
    <sheet name="Contents" sheetId="8" r:id="rId1"/>
    <sheet name="Reference Tables" sheetId="6" r:id="rId2"/>
    <sheet name="Commercial - 2022" sheetId="1" r:id="rId3"/>
    <sheet name="Mandatory Questions" sheetId="4" r:id="rId4"/>
    <sheet name="Validation by Market" sheetId="12" r:id="rId5"/>
    <sheet name="Validation by ACO" sheetId="3" r:id="rId6"/>
  </sheets>
  <definedNames>
    <definedName name="_xlnm._FilterDatabase" localSheetId="1" hidden="1">'Reference Tables'!$B$19:$C$19</definedName>
    <definedName name="Insurer_Org_ID">'Mandatory Questions'!$B$5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1" l="1"/>
  <c r="AB11" i="1"/>
  <c r="V29" i="3"/>
  <c r="V28" i="3"/>
  <c r="V27" i="3"/>
  <c r="V26" i="3"/>
  <c r="V25" i="3"/>
  <c r="V24" i="3"/>
  <c r="V23" i="3"/>
  <c r="V22" i="3"/>
  <c r="U29" i="3"/>
  <c r="U28" i="3"/>
  <c r="U27" i="3"/>
  <c r="U26" i="3"/>
  <c r="U25" i="3"/>
  <c r="U24" i="3"/>
  <c r="U23" i="3"/>
  <c r="U22" i="3"/>
  <c r="T29" i="3"/>
  <c r="T28" i="3"/>
  <c r="T27" i="3"/>
  <c r="T26" i="3"/>
  <c r="T25" i="3"/>
  <c r="T24" i="3"/>
  <c r="T23" i="3"/>
  <c r="T22" i="3"/>
  <c r="S29" i="3"/>
  <c r="S28" i="3"/>
  <c r="S27" i="3"/>
  <c r="S26" i="3"/>
  <c r="S25" i="3"/>
  <c r="S24" i="3"/>
  <c r="S23" i="3"/>
  <c r="S22" i="3"/>
  <c r="R29" i="3"/>
  <c r="R28" i="3"/>
  <c r="R27" i="3"/>
  <c r="R26" i="3"/>
  <c r="R25" i="3"/>
  <c r="R24" i="3"/>
  <c r="R23" i="3"/>
  <c r="R22" i="3"/>
  <c r="Q29" i="3"/>
  <c r="Q28" i="3"/>
  <c r="Q27" i="3"/>
  <c r="Q26" i="3"/>
  <c r="Q25" i="3"/>
  <c r="Q24" i="3"/>
  <c r="Q23" i="3"/>
  <c r="Q22" i="3"/>
  <c r="P29" i="3"/>
  <c r="P28" i="3"/>
  <c r="P27" i="3"/>
  <c r="P26" i="3"/>
  <c r="P25" i="3"/>
  <c r="P24" i="3"/>
  <c r="P23" i="3"/>
  <c r="P22" i="3"/>
  <c r="O29" i="3"/>
  <c r="O28" i="3"/>
  <c r="O27" i="3"/>
  <c r="O26" i="3"/>
  <c r="O25" i="3"/>
  <c r="O24" i="3"/>
  <c r="O23" i="3"/>
  <c r="O22" i="3"/>
  <c r="N29" i="3"/>
  <c r="N28" i="3"/>
  <c r="N27" i="3"/>
  <c r="N26" i="3"/>
  <c r="N25" i="3"/>
  <c r="N24" i="3"/>
  <c r="N23" i="3"/>
  <c r="N22" i="3"/>
  <c r="M29" i="3"/>
  <c r="M28" i="3"/>
  <c r="M27" i="3"/>
  <c r="M26" i="3"/>
  <c r="M25" i="3"/>
  <c r="M24" i="3"/>
  <c r="M23" i="3"/>
  <c r="M22" i="3"/>
  <c r="L29" i="3"/>
  <c r="L28" i="3"/>
  <c r="L27" i="3"/>
  <c r="L26" i="3"/>
  <c r="L25" i="3"/>
  <c r="L24" i="3"/>
  <c r="L23" i="3"/>
  <c r="L22" i="3"/>
  <c r="K29" i="3"/>
  <c r="K28" i="3"/>
  <c r="K27" i="3"/>
  <c r="K26" i="3"/>
  <c r="K25" i="3"/>
  <c r="K24" i="3"/>
  <c r="K23" i="3"/>
  <c r="K22" i="3"/>
  <c r="J29" i="3"/>
  <c r="J28" i="3"/>
  <c r="J27" i="3"/>
  <c r="J26" i="3"/>
  <c r="J25" i="3"/>
  <c r="J24" i="3"/>
  <c r="J23" i="3"/>
  <c r="J22" i="3"/>
  <c r="I29" i="3"/>
  <c r="I28" i="3"/>
  <c r="I27" i="3"/>
  <c r="I26" i="3"/>
  <c r="I25" i="3"/>
  <c r="I24" i="3"/>
  <c r="I23" i="3"/>
  <c r="I22" i="3"/>
  <c r="H29" i="3"/>
  <c r="H28" i="3"/>
  <c r="H27" i="3"/>
  <c r="H26" i="3"/>
  <c r="H25" i="3"/>
  <c r="H24" i="3"/>
  <c r="H23" i="3"/>
  <c r="H22" i="3"/>
  <c r="G29" i="3"/>
  <c r="G28" i="3"/>
  <c r="G27" i="3"/>
  <c r="G26" i="3"/>
  <c r="G25" i="3"/>
  <c r="G24" i="3"/>
  <c r="G23" i="3"/>
  <c r="G22" i="3"/>
  <c r="F29" i="3"/>
  <c r="F28" i="3"/>
  <c r="F27" i="3"/>
  <c r="F26" i="3"/>
  <c r="F25" i="3"/>
  <c r="F24" i="3"/>
  <c r="F23" i="3"/>
  <c r="F22" i="3"/>
  <c r="E29" i="3"/>
  <c r="E28" i="3"/>
  <c r="E27" i="3"/>
  <c r="E26" i="3"/>
  <c r="E25" i="3"/>
  <c r="E24" i="3"/>
  <c r="E23" i="3"/>
  <c r="E22" i="3"/>
  <c r="AB26" i="1"/>
  <c r="AB25" i="1"/>
  <c r="AB24" i="1"/>
  <c r="AB23" i="1"/>
  <c r="L15" i="3" s="1"/>
  <c r="AB22" i="1"/>
  <c r="L14" i="3" s="1"/>
  <c r="AB21" i="1"/>
  <c r="L13" i="3" s="1"/>
  <c r="AB20" i="1"/>
  <c r="L12" i="3" s="1"/>
  <c r="AB19" i="1"/>
  <c r="L11" i="3" s="1"/>
  <c r="AB18" i="1"/>
  <c r="L10" i="3" s="1"/>
  <c r="AB17" i="1"/>
  <c r="L9" i="3" s="1"/>
  <c r="AB16" i="1"/>
  <c r="L8" i="3" s="1"/>
  <c r="AE11" i="1"/>
  <c r="C4" i="12"/>
  <c r="D30" i="12" s="1"/>
  <c r="D27" i="12" l="1"/>
  <c r="C24" i="12"/>
  <c r="C28" i="12"/>
  <c r="C23" i="12"/>
  <c r="D23" i="12"/>
  <c r="D24" i="12"/>
  <c r="D28" i="12"/>
  <c r="C16" i="12"/>
  <c r="C14" i="12"/>
  <c r="C25" i="12"/>
  <c r="C29" i="12"/>
  <c r="D25" i="12"/>
  <c r="D29" i="12"/>
  <c r="C27" i="12"/>
  <c r="C22" i="12"/>
  <c r="C26" i="12"/>
  <c r="C30" i="12"/>
  <c r="D22" i="12"/>
  <c r="D26" i="12"/>
  <c r="C17" i="12"/>
  <c r="Y11" i="1"/>
  <c r="C15" i="12" s="1"/>
  <c r="S11" i="1"/>
  <c r="C13" i="12" s="1"/>
  <c r="P11" i="1"/>
  <c r="C12" i="12" s="1"/>
  <c r="M11" i="1"/>
  <c r="C11" i="12" s="1"/>
  <c r="J11" i="1"/>
  <c r="C10" i="12" s="1"/>
  <c r="G11" i="1"/>
  <c r="C9" i="12" s="1"/>
  <c r="AE17" i="1"/>
  <c r="M9" i="3" s="1"/>
  <c r="AE18" i="1"/>
  <c r="M10" i="3" s="1"/>
  <c r="AE19" i="1"/>
  <c r="M11" i="3" s="1"/>
  <c r="AE20" i="1"/>
  <c r="M12" i="3" s="1"/>
  <c r="AE21" i="1"/>
  <c r="M13" i="3" s="1"/>
  <c r="AE22" i="1"/>
  <c r="M14" i="3" s="1"/>
  <c r="AE23" i="1"/>
  <c r="M15" i="3" s="1"/>
  <c r="AE24" i="1"/>
  <c r="AE25" i="1"/>
  <c r="AE26" i="1"/>
  <c r="Y17" i="1"/>
  <c r="K9" i="3" s="1"/>
  <c r="Y18" i="1"/>
  <c r="K10" i="3" s="1"/>
  <c r="Y19" i="1"/>
  <c r="K11" i="3" s="1"/>
  <c r="Y20" i="1"/>
  <c r="K12" i="3" s="1"/>
  <c r="Y21" i="1"/>
  <c r="K13" i="3" s="1"/>
  <c r="Y22" i="1"/>
  <c r="K14" i="3" s="1"/>
  <c r="Y23" i="1"/>
  <c r="K15" i="3" s="1"/>
  <c r="Y24" i="1"/>
  <c r="Y25" i="1"/>
  <c r="Y26" i="1"/>
  <c r="V17" i="1"/>
  <c r="J9" i="3" s="1"/>
  <c r="V18" i="1"/>
  <c r="J10" i="3" s="1"/>
  <c r="V19" i="1"/>
  <c r="J11" i="3" s="1"/>
  <c r="V20" i="1"/>
  <c r="J12" i="3" s="1"/>
  <c r="V21" i="1"/>
  <c r="J13" i="3" s="1"/>
  <c r="V22" i="1"/>
  <c r="J14" i="3" s="1"/>
  <c r="V23" i="1"/>
  <c r="J15" i="3" s="1"/>
  <c r="V24" i="1"/>
  <c r="V25" i="1"/>
  <c r="V26" i="1"/>
  <c r="AE16" i="1"/>
  <c r="M8" i="3" s="1"/>
  <c r="Y16" i="1"/>
  <c r="K8" i="3" s="1"/>
  <c r="V16" i="1"/>
  <c r="J8" i="3" s="1"/>
  <c r="S16" i="1"/>
  <c r="I8" i="3" s="1"/>
  <c r="P16" i="1"/>
  <c r="H8" i="3" s="1"/>
  <c r="M16" i="1"/>
  <c r="G8" i="3" s="1"/>
  <c r="J16" i="1"/>
  <c r="F8" i="3" s="1"/>
  <c r="S17" i="1" l="1"/>
  <c r="I9" i="3" s="1"/>
  <c r="S18" i="1"/>
  <c r="I10" i="3" s="1"/>
  <c r="S19" i="1"/>
  <c r="I11" i="3" s="1"/>
  <c r="S20" i="1"/>
  <c r="I12" i="3" s="1"/>
  <c r="S21" i="1"/>
  <c r="I13" i="3" s="1"/>
  <c r="S22" i="1"/>
  <c r="I14" i="3" s="1"/>
  <c r="S23" i="1"/>
  <c r="I15" i="3" s="1"/>
  <c r="S24" i="1"/>
  <c r="S25" i="1"/>
  <c r="S26" i="1"/>
  <c r="P17" i="1"/>
  <c r="H9" i="3" s="1"/>
  <c r="P18" i="1"/>
  <c r="H10" i="3" s="1"/>
  <c r="P19" i="1"/>
  <c r="H11" i="3" s="1"/>
  <c r="P20" i="1"/>
  <c r="H12" i="3" s="1"/>
  <c r="P21" i="1"/>
  <c r="H13" i="3" s="1"/>
  <c r="P22" i="1"/>
  <c r="H14" i="3" s="1"/>
  <c r="P23" i="1"/>
  <c r="H15" i="3" s="1"/>
  <c r="P24" i="1"/>
  <c r="P25" i="1"/>
  <c r="P26" i="1"/>
  <c r="M17" i="1"/>
  <c r="G9" i="3" s="1"/>
  <c r="M18" i="1"/>
  <c r="G10" i="3" s="1"/>
  <c r="M19" i="1"/>
  <c r="G11" i="3" s="1"/>
  <c r="M20" i="1"/>
  <c r="G12" i="3" s="1"/>
  <c r="M21" i="1"/>
  <c r="G13" i="3" s="1"/>
  <c r="M22" i="1"/>
  <c r="G14" i="3" s="1"/>
  <c r="M23" i="1"/>
  <c r="G15" i="3" s="1"/>
  <c r="M24" i="1"/>
  <c r="M25" i="1"/>
  <c r="M26" i="1"/>
  <c r="J17" i="1"/>
  <c r="F9" i="3" s="1"/>
  <c r="J18" i="1"/>
  <c r="F10" i="3" s="1"/>
  <c r="J19" i="1"/>
  <c r="F11" i="3" s="1"/>
  <c r="J20" i="1"/>
  <c r="F12" i="3" s="1"/>
  <c r="J21" i="1"/>
  <c r="F13" i="3" s="1"/>
  <c r="J22" i="1"/>
  <c r="F14" i="3" s="1"/>
  <c r="J23" i="1"/>
  <c r="F15" i="3" s="1"/>
  <c r="J24" i="1"/>
  <c r="J25" i="1"/>
  <c r="J26" i="1"/>
  <c r="G17" i="1" l="1"/>
  <c r="E9" i="3" s="1"/>
  <c r="G18" i="1"/>
  <c r="E10" i="3" s="1"/>
  <c r="G19" i="1"/>
  <c r="E11" i="3" s="1"/>
  <c r="G20" i="1"/>
  <c r="E12" i="3" s="1"/>
  <c r="G21" i="1"/>
  <c r="E13" i="3" s="1"/>
  <c r="G22" i="1"/>
  <c r="E14" i="3" s="1"/>
  <c r="G23" i="1"/>
  <c r="E15" i="3" s="1"/>
  <c r="G24" i="1"/>
  <c r="G25" i="1"/>
  <c r="G26" i="1"/>
  <c r="G16" i="1"/>
  <c r="E8" i="3" s="1"/>
</calcChain>
</file>

<file path=xl/sharedStrings.xml><?xml version="1.0" encoding="utf-8"?>
<sst xmlns="http://schemas.openxmlformats.org/spreadsheetml/2006/main" count="281" uniqueCount="134">
  <si>
    <t>Rhode Island</t>
  </si>
  <si>
    <t>Black = Payer-reported data </t>
  </si>
  <si>
    <t>Blue = OHIC-calculated data </t>
  </si>
  <si>
    <t>Numerator</t>
  </si>
  <si>
    <t>Denominator</t>
  </si>
  <si>
    <t>Follow-Up After Hospitalization for Mental Illness (7-Day)</t>
  </si>
  <si>
    <t>Breast Cancer Screening</t>
  </si>
  <si>
    <t>Colorectal Cancer Screening</t>
  </si>
  <si>
    <t>Developmental Screening in the First Three Years of Life</t>
  </si>
  <si>
    <t>Breast Cancer Screening - Numerator</t>
  </si>
  <si>
    <t>Breast Cancer Screening - Denominator</t>
  </si>
  <si>
    <t>Breast Cancer Screening - Performance</t>
  </si>
  <si>
    <t>Colorectal Cancer Screening - Numerator</t>
  </si>
  <si>
    <t>Colorectal Cancer Screening - Denominator</t>
  </si>
  <si>
    <t>Colorectal Cancer Screening - Performance</t>
  </si>
  <si>
    <t>Developmental Screening in the First Three Years of Life - Numerator</t>
  </si>
  <si>
    <t>Developmental Screening in the First Three Years of Life - Performance</t>
  </si>
  <si>
    <t>Developmental Screening in the First Three Years of Life - Denominator</t>
  </si>
  <si>
    <t>Contact Name:</t>
  </si>
  <si>
    <t>Contact Email:</t>
  </si>
  <si>
    <t>[Input Required]</t>
  </si>
  <si>
    <r>
      <rPr>
        <b/>
        <sz val="11"/>
        <color theme="1"/>
        <rFont val="Calibri"/>
        <family val="2"/>
        <scheme val="minor"/>
      </rPr>
      <t>Mandatory Questions</t>
    </r>
    <r>
      <rPr>
        <sz val="11"/>
        <color theme="1"/>
        <rFont val="Calibri"/>
        <family val="2"/>
        <scheme val="minor"/>
      </rPr>
      <t xml:space="preserve"> </t>
    </r>
    <r>
      <rPr>
        <sz val="11"/>
        <color rgb="FFFF0000"/>
        <rFont val="Calibri"/>
        <family val="2"/>
        <scheme val="minor"/>
      </rPr>
      <t>[All questions must be answered]</t>
    </r>
  </si>
  <si>
    <t>Questions</t>
  </si>
  <si>
    <t>Response - 2021 Reporting</t>
  </si>
  <si>
    <t>Comments</t>
  </si>
  <si>
    <t>Measure</t>
  </si>
  <si>
    <t>Market</t>
  </si>
  <si>
    <t>Blackstone Valley Community Health Care</t>
  </si>
  <si>
    <t>Coastal Medical</t>
  </si>
  <si>
    <t>Integra Community Care Network</t>
  </si>
  <si>
    <t>Integrated Healthcare Partners</t>
  </si>
  <si>
    <t>Lifespan</t>
  </si>
  <si>
    <t>Providence Community Health Centers</t>
  </si>
  <si>
    <t>Prospect CharterCARE</t>
  </si>
  <si>
    <t>Commercial</t>
  </si>
  <si>
    <t>This workbook contains the following tabs:</t>
  </si>
  <si>
    <t>Tab Name</t>
  </si>
  <si>
    <t>Required Data Entry?</t>
  </si>
  <si>
    <t>Tab Purpose</t>
  </si>
  <si>
    <t>Mandatory Questions</t>
  </si>
  <si>
    <t>Yes</t>
  </si>
  <si>
    <t>Insurers must answer questions on their data submission to ensure the submission is in alignment with the specifications outlined in the Implementation Manual.</t>
  </si>
  <si>
    <t>No</t>
  </si>
  <si>
    <t>Reference Tables</t>
  </si>
  <si>
    <t>Contents</t>
  </si>
  <si>
    <t>Did you submit performance according to the measure specifications included in the Implementation Manual?</t>
  </si>
  <si>
    <t>Adult Measures</t>
  </si>
  <si>
    <t>Pediatric Measures</t>
  </si>
  <si>
    <t>Table 1: Commercial Quality Measures - Low Performance Rates</t>
  </si>
  <si>
    <t>Table 2: Commercial Quality Measures - Potentially Aberrant Numerators/Denominators</t>
  </si>
  <si>
    <t>Description</t>
  </si>
  <si>
    <t>The percentage of women 50-74 years of age who had a mammogram to screen for breast cancer.</t>
  </si>
  <si>
    <t>Steward</t>
  </si>
  <si>
    <t>The percentage of members 50-75 years of age who had appropriate screening for colorectal cancer.</t>
  </si>
  <si>
    <t>Thundermist</t>
  </si>
  <si>
    <t>Insurer Org ID</t>
  </si>
  <si>
    <t>Insurer Commercial Performance</t>
  </si>
  <si>
    <t>Blue Cross Blue Shield of RI</t>
  </si>
  <si>
    <t>Neighborhood Health Plan of RI</t>
  </si>
  <si>
    <t>Tufts Health Plan</t>
  </si>
  <si>
    <t>United Healthcare</t>
  </si>
  <si>
    <t>Insurer Organization Identification Number</t>
  </si>
  <si>
    <t>Insurer</t>
  </si>
  <si>
    <t>Validation by Market</t>
  </si>
  <si>
    <t xml:space="preserve">Insurer Org ID: </t>
  </si>
  <si>
    <t>[Input Required, see Insurer Org ID list in Reference Tables tab]</t>
  </si>
  <si>
    <t>Measure Name</t>
  </si>
  <si>
    <t>Performance Rate</t>
  </si>
  <si>
    <t>Table 1: Low Performance Rates - Commercial</t>
  </si>
  <si>
    <t>Insurer Org ID:</t>
  </si>
  <si>
    <t>Follow-Up After Hospitalization for Mental Illness (7-Day) - Numerator</t>
  </si>
  <si>
    <t>Follow-Up After Hospitalization for Mental Illness (7-Day) - Denominator</t>
  </si>
  <si>
    <t>Follow-Up After Hospitalization for Mental Illness (7-Day) - Performance</t>
  </si>
  <si>
    <t>Performance Period End Date</t>
  </si>
  <si>
    <t>The percentage of children screened for risk of development, behavioral and social delays using a standardized screening tool in the 12 months proceeding or on the first, second, or third birthday.</t>
  </si>
  <si>
    <r>
      <rPr>
        <b/>
        <i/>
        <sz val="11"/>
        <color theme="1"/>
        <rFont val="Calibri"/>
        <family val="2"/>
        <scheme val="minor"/>
      </rPr>
      <t>Note</t>
    </r>
    <r>
      <rPr>
        <i/>
        <sz val="11"/>
        <color theme="1"/>
        <rFont val="Calibri"/>
        <family val="2"/>
        <scheme val="minor"/>
      </rPr>
      <t>: For full measure specifications please see NCQA HEDIS and OHSU specifications.</t>
    </r>
  </si>
  <si>
    <t>Table 2: Potentially Aberrant Numerators/Denominators - Commercial</t>
  </si>
  <si>
    <t>This tab uses the insurer-level data you submitted in the Commercial quality measures tab to check for potentially aberrant rates and numerators/denominators.  Please review the data in this tab prior to submission.</t>
  </si>
  <si>
    <t>NCQA</t>
  </si>
  <si>
    <t>OHSU</t>
  </si>
  <si>
    <t>Data Source</t>
  </si>
  <si>
    <t>Technical Specifications</t>
  </si>
  <si>
    <t>Admin</t>
  </si>
  <si>
    <t>Admin/Clinical Data</t>
  </si>
  <si>
    <t>CMS Core Set of Children’s Health Care Quality Measures for Medicaid and CHIP</t>
  </si>
  <si>
    <t>Is there anything else you would like us to know about the data you submitted? If yes, please explain in the Comments section.</t>
  </si>
  <si>
    <t>Performance rates of less than 40% are highlighted in red, indicating a potential error.</t>
  </si>
  <si>
    <t>Numerators and denominators less than 30 are highlighted in red, indicating a potential error.</t>
  </si>
  <si>
    <r>
      <t>This tab uses insurer-provided information from the Commercial tab to flag potentia</t>
    </r>
    <r>
      <rPr>
        <strike/>
        <sz val="11"/>
        <rFont val="Calibri"/>
        <family val="2"/>
        <scheme val="minor"/>
      </rPr>
      <t>i</t>
    </r>
    <r>
      <rPr>
        <sz val="11"/>
        <rFont val="Calibri"/>
        <family val="2"/>
        <scheme val="minor"/>
      </rPr>
      <t>lly aberrant rates and/or numerators and denominators.  These summary tables are intended to help insurers validate their data prior to submission.
Insurers are not required to input any data in this tab.  Insurers should review this tab prior to submitting this file to ensure data are correct.</t>
    </r>
  </si>
  <si>
    <t>Are the data for the requested reporting period (January 1st - December 31st of the requested calendar year)? If no, please indicate the performance period in the Comments section.</t>
  </si>
  <si>
    <t>This tab contains reference tables with the Insurer Org IDs, ACO Org IDs and summaries of the measure specifications.</t>
  </si>
  <si>
    <t>Validation by ACO</t>
  </si>
  <si>
    <t>ACO Organization Identification Number</t>
  </si>
  <si>
    <t>ACO</t>
  </si>
  <si>
    <t>ACO Commercial Performance</t>
  </si>
  <si>
    <t>ACO Org ID</t>
  </si>
  <si>
    <t xml:space="preserve">Did you submit performance both at the insurer level and at the ACO level for the Commercial market? </t>
  </si>
  <si>
    <t>ACO Name</t>
  </si>
  <si>
    <t>This tab uses the ACO-level data you submitted in the Commercial quality measures tab to check for potentially aberrant rates and numerators/denominators.  Please review the data in this tab prior to submission.</t>
  </si>
  <si>
    <t>Percentage of patients 18-75 years of age with diabetes who had a retinal or dilated eye exam by an eye care professional during the measurement period or a negative retinal exam (no evidence of retinopathy) in the 12 months prior to the measurement period.</t>
  </si>
  <si>
    <t>Percentage of members 18 - 75 years of age with diabetes (type 1 and type 2) whose most recent HbA1c level is &lt;8.0% during the measurement year.</t>
  </si>
  <si>
    <r>
      <t>Numerators and denominators less than 30 are highlighted in red, indicating a potential error  (</t>
    </r>
    <r>
      <rPr>
        <b/>
        <i/>
        <sz val="11"/>
        <color theme="1"/>
        <rFont val="Calibri"/>
        <family val="2"/>
        <scheme val="minor"/>
      </rPr>
      <t>Note</t>
    </r>
    <r>
      <rPr>
        <i/>
        <sz val="11"/>
        <color theme="1"/>
        <rFont val="Calibri"/>
        <family val="2"/>
        <scheme val="minor"/>
      </rPr>
      <t>: OHIC recognizes that numerators/denominators for FQHC-based ACOs may be below 30).</t>
    </r>
  </si>
  <si>
    <t>Did you submit performance for the ACO's entire attributed population for a given market, as outlined in the measure specifications (not necessarily limited to Rhode Island residents)?</t>
  </si>
  <si>
    <t>Performance Period Beginning Date</t>
  </si>
  <si>
    <r>
      <t xml:space="preserve">For </t>
    </r>
    <r>
      <rPr>
        <i/>
        <sz val="11"/>
        <color theme="1"/>
        <rFont val="Calibri"/>
        <family val="2"/>
        <scheme val="minor"/>
      </rPr>
      <t>Developmental Screening in the First Three Years of Life,</t>
    </r>
    <r>
      <rPr>
        <sz val="11"/>
        <color theme="1"/>
        <rFont val="Calibri"/>
        <family val="2"/>
        <scheme val="minor"/>
      </rPr>
      <t xml:space="preserve"> did you follow CMS' specifications using only active patients (using the instructions in the Implementation Manual)?  If no, please indicate specifications used in the Comments section.</t>
    </r>
  </si>
  <si>
    <t>Commercial - 2022</t>
  </si>
  <si>
    <t>This tab is for insurers to submit commerical quality measure performance at the insurer level and by ACO for the eight measures in the 2022 OHIC ACO Core Measure Set.</t>
  </si>
  <si>
    <t>Eye Exam for Patients with Diabetes</t>
  </si>
  <si>
    <t>Hemoglobin A1c Control for Patients with Diabetes: HbA1c Control (&lt;8.0%)</t>
  </si>
  <si>
    <t>Child and Adolescent Well-Care Visits (Adolescent Well-Care Visits only, age bands 12-17 and 18-21)</t>
  </si>
  <si>
    <t>NCQA-HEDIS® MY 2022</t>
  </si>
  <si>
    <t>Percentage of members 3–21 years of age who had at least one comprehensive well-care visit with a PCP or an OB/GYN practitioner during the measurement year.</t>
  </si>
  <si>
    <t>Controlling High Blood Pressure</t>
  </si>
  <si>
    <t xml:space="preserve">Percentage of patients 18 to 85 years of age who had a diagnosis of hypertension (HTN) and whose blood pressure (BP) was adequately controlled (&lt;140/90) during the measurement year. </t>
  </si>
  <si>
    <t>Percentage of discharges for members 6 years of age and older who were hospitalized for treatment of selected mental health disorders and who had an OP visit, an intensive OP encounter, or partial hospitalization with a mental health practitioner.  The rate reported is the percentage of discharges for which the member received follow-up within 7 days after discharge.</t>
  </si>
  <si>
    <t>Commercial Quality Measure Performance Submission Template - 2022</t>
  </si>
  <si>
    <t>Child and Adolescent Well-Care Visits (ages 12-17) - Numerator</t>
  </si>
  <si>
    <t>Child and Adolescent Well-Care Visits (ages 12-17) - Denominator</t>
  </si>
  <si>
    <t>Child and Adolescent Well-Care Visits (ages 12-17) - Performance</t>
  </si>
  <si>
    <t>Child and Adolescent Well-Care Visits (ages 18-21) - Numerator</t>
  </si>
  <si>
    <t>Child and Adolescent Well-Care Visits (ages 18-21) - Denominator</t>
  </si>
  <si>
    <t>Child and Adolescent Well-Care Visits (ages 18-21) - Performance</t>
  </si>
  <si>
    <t>Controlling High Blood Pressure - Numerator</t>
  </si>
  <si>
    <t>Controlling High Blood Pressure - Denominator</t>
  </si>
  <si>
    <t>Controlling High Blood Pressure - Performance</t>
  </si>
  <si>
    <t>Eye Exam for Patients with Diabetes - Numerator</t>
  </si>
  <si>
    <t>Eye Exam for Patients with Diabetes - Denominator</t>
  </si>
  <si>
    <t>Eye Exam for Patients with Diabetes - Performance</t>
  </si>
  <si>
    <t>Hemoglobin A1c Control for Patients with Diabetes: HbA1c Control (&lt;8.0%) - Numerator</t>
  </si>
  <si>
    <t>Hemoglobin A1c Control for Patients with Diabetes: HbA1c Control (&lt;8.0%) - Denominator</t>
  </si>
  <si>
    <t>Hemoglobin A1c Control for Patients with Diabetes: HbA1c Control (&lt;8.0%) - Performance</t>
  </si>
  <si>
    <t>Child and Adolescent Well-Care Visits (ages 12-17)</t>
  </si>
  <si>
    <t>Child and Adolescent Well-Care Visits (ages 18-21)</t>
  </si>
  <si>
    <t>For the NCQA measures, did you follow HEDIS MY 2022 specifications? If no, please indicate specifications used in the Comments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</si>
</sst>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color theme="4"/>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i/>
      <sz val="11"/>
      <color theme="1"/>
      <name val="Calibri"/>
      <family val="2"/>
      <scheme val="minor"/>
    </font>
    <font>
      <strike/>
      <sz val="11"/>
      <name val="Calibri"/>
      <family val="2"/>
      <scheme val="minor"/>
    </font>
    <font>
      <b/>
      <sz val="11"/>
      <name val="Calibri"/>
      <family val="2"/>
      <scheme val="minor"/>
    </font>
    <font>
      <b/>
      <i/>
      <sz val="11"/>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4" fillId="0" borderId="0" xfId="0" applyFont="1"/>
    <xf numFmtId="0" fontId="5" fillId="0" borderId="0" xfId="0" applyFont="1"/>
    <xf numFmtId="0" fontId="0" fillId="0" borderId="3" xfId="0" applyBorder="1"/>
    <xf numFmtId="0" fontId="3" fillId="0" borderId="0" xfId="0" applyFont="1"/>
    <xf numFmtId="0" fontId="2" fillId="2" borderId="3" xfId="0" applyFont="1" applyFill="1" applyBorder="1"/>
    <xf numFmtId="0" fontId="2" fillId="4" borderId="3" xfId="0" applyFont="1" applyFill="1" applyBorder="1" applyAlignment="1">
      <alignment wrapText="1"/>
    </xf>
    <xf numFmtId="9" fontId="0" fillId="0" borderId="3" xfId="1" applyFont="1" applyBorder="1"/>
    <xf numFmtId="164" fontId="6" fillId="0" borderId="2" xfId="1" applyNumberFormat="1" applyFont="1" applyBorder="1" applyAlignment="1">
      <alignment horizontal="center"/>
    </xf>
    <xf numFmtId="0" fontId="7" fillId="0" borderId="0" xfId="0" applyFont="1"/>
    <xf numFmtId="0" fontId="8" fillId="0" borderId="0" xfId="0" applyFont="1"/>
    <xf numFmtId="0" fontId="9" fillId="0" borderId="0" xfId="0" applyFont="1"/>
    <xf numFmtId="0" fontId="0" fillId="0" borderId="3" xfId="0" applyBorder="1" applyAlignment="1">
      <alignment horizontal="left" vertical="top" wrapText="1"/>
    </xf>
    <xf numFmtId="0" fontId="11" fillId="0" borderId="0" xfId="0" applyFont="1"/>
    <xf numFmtId="0" fontId="10" fillId="0" borderId="3" xfId="0" applyFont="1" applyBorder="1" applyAlignment="1">
      <alignment horizontal="left" vertical="top" wrapText="1"/>
    </xf>
    <xf numFmtId="0" fontId="13" fillId="0" borderId="0" xfId="0" applyFont="1"/>
    <xf numFmtId="0" fontId="0" fillId="0" borderId="3" xfId="0" applyBorder="1" applyAlignment="1">
      <alignment horizontal="left" wrapText="1"/>
    </xf>
    <xf numFmtId="0" fontId="4" fillId="2" borderId="6" xfId="0" applyFont="1" applyFill="1" applyBorder="1" applyAlignment="1">
      <alignment horizontal="center" wrapText="1"/>
    </xf>
    <xf numFmtId="0" fontId="4" fillId="2" borderId="7" xfId="0" applyFont="1" applyFill="1" applyBorder="1" applyAlignment="1">
      <alignment horizontal="center"/>
    </xf>
    <xf numFmtId="0" fontId="0" fillId="0" borderId="8" xfId="0" applyBorder="1" applyAlignment="1">
      <alignment horizontal="center"/>
    </xf>
    <xf numFmtId="1" fontId="0" fillId="0" borderId="9" xfId="0" applyNumberFormat="1" applyBorder="1" applyAlignment="1">
      <alignment horizontal="center" wrapText="1"/>
    </xf>
    <xf numFmtId="0" fontId="0" fillId="0" borderId="3" xfId="0" applyBorder="1" applyAlignment="1">
      <alignment horizontal="left" vertical="center" wrapText="1"/>
    </xf>
    <xf numFmtId="1" fontId="0" fillId="0" borderId="3" xfId="0" applyNumberFormat="1" applyBorder="1" applyAlignment="1">
      <alignment horizontal="left" vertical="center" wrapText="1"/>
    </xf>
    <xf numFmtId="0" fontId="0" fillId="0" borderId="3" xfId="0" applyBorder="1" applyAlignment="1">
      <alignment horizontal="center" vertical="center" wrapText="1"/>
    </xf>
    <xf numFmtId="0" fontId="2" fillId="2" borderId="3" xfId="0" applyFont="1" applyFill="1" applyBorder="1" applyAlignment="1">
      <alignment horizontal="center" wrapText="1"/>
    </xf>
    <xf numFmtId="0" fontId="2" fillId="2" borderId="3" xfId="0" applyFont="1" applyFill="1" applyBorder="1" applyAlignment="1">
      <alignment horizontal="center"/>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0" fillId="0" borderId="9" xfId="0" applyBorder="1" applyAlignment="1">
      <alignment horizontal="left" wrapText="1"/>
    </xf>
    <xf numFmtId="0" fontId="0" fillId="0" borderId="11" xfId="0" applyBorder="1" applyAlignment="1">
      <alignment horizontal="left" wrapText="1"/>
    </xf>
    <xf numFmtId="1" fontId="0" fillId="0" borderId="8" xfId="0" applyNumberForma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8" borderId="3" xfId="0" applyFill="1" applyBorder="1"/>
    <xf numFmtId="0" fontId="0" fillId="0" borderId="8" xfId="0" applyBorder="1" applyAlignment="1">
      <alignment horizontal="left" vertical="center" wrapText="1"/>
    </xf>
    <xf numFmtId="0" fontId="0" fillId="0" borderId="10" xfId="0" applyBorder="1" applyAlignment="1">
      <alignment horizontal="left" vertical="center" wrapText="1"/>
    </xf>
    <xf numFmtId="164" fontId="6" fillId="0" borderId="0" xfId="1" applyNumberFormat="1" applyFont="1" applyBorder="1" applyAlignment="1">
      <alignment horizontal="center"/>
    </xf>
    <xf numFmtId="1" fontId="0" fillId="0" borderId="3" xfId="1" applyNumberFormat="1" applyFont="1" applyBorder="1"/>
    <xf numFmtId="0" fontId="0" fillId="0" borderId="3" xfId="0" applyBorder="1" applyAlignment="1">
      <alignment horizontal="center"/>
    </xf>
    <xf numFmtId="0" fontId="0" fillId="3" borderId="13" xfId="0" applyFill="1" applyBorder="1"/>
    <xf numFmtId="0" fontId="4" fillId="3" borderId="14" xfId="0" applyFont="1" applyFill="1" applyBorder="1"/>
    <xf numFmtId="0" fontId="4" fillId="3" borderId="16" xfId="0" applyFont="1" applyFill="1" applyBorder="1" applyAlignment="1">
      <alignment horizontal="center" wrapText="1"/>
    </xf>
    <xf numFmtId="0" fontId="4" fillId="3" borderId="0" xfId="0" applyFont="1" applyFill="1" applyAlignment="1">
      <alignment horizontal="center" wrapText="1"/>
    </xf>
    <xf numFmtId="0" fontId="4" fillId="7" borderId="0" xfId="0" applyFont="1" applyFill="1" applyAlignment="1">
      <alignment horizontal="center" wrapText="1"/>
    </xf>
    <xf numFmtId="0" fontId="4" fillId="7" borderId="17" xfId="0" applyFont="1" applyFill="1" applyBorder="1" applyAlignment="1">
      <alignment horizontal="center" wrapText="1"/>
    </xf>
    <xf numFmtId="0" fontId="0" fillId="0" borderId="18" xfId="0" applyBorder="1"/>
    <xf numFmtId="0" fontId="0" fillId="0" borderId="21" xfId="0" applyBorder="1"/>
    <xf numFmtId="164" fontId="6" fillId="0" borderId="20" xfId="1" applyNumberFormat="1" applyFont="1" applyBorder="1" applyAlignment="1">
      <alignment horizontal="center"/>
    </xf>
    <xf numFmtId="164" fontId="6" fillId="0" borderId="22" xfId="1" applyNumberFormat="1" applyFont="1" applyBorder="1" applyAlignment="1">
      <alignment horizontal="center"/>
    </xf>
    <xf numFmtId="0" fontId="0" fillId="0" borderId="16" xfId="0" applyBorder="1"/>
    <xf numFmtId="164" fontId="6" fillId="0" borderId="17" xfId="1" applyNumberFormat="1" applyFont="1" applyBorder="1" applyAlignment="1">
      <alignment horizontal="center"/>
    </xf>
    <xf numFmtId="1" fontId="0" fillId="0" borderId="3" xfId="0" applyNumberFormat="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10" fillId="9" borderId="3" xfId="0" applyFont="1" applyFill="1" applyBorder="1" applyAlignment="1">
      <alignment vertical="center" wrapText="1"/>
    </xf>
    <xf numFmtId="0" fontId="2" fillId="4" borderId="1" xfId="0" applyFont="1" applyFill="1" applyBorder="1" applyAlignment="1">
      <alignment wrapText="1"/>
    </xf>
    <xf numFmtId="14" fontId="0" fillId="0" borderId="19" xfId="0" applyNumberFormat="1" applyBorder="1"/>
    <xf numFmtId="14" fontId="0" fillId="0" borderId="0" xfId="0" applyNumberFormat="1"/>
    <xf numFmtId="0" fontId="4" fillId="3" borderId="13" xfId="0" applyFont="1" applyFill="1" applyBorder="1"/>
    <xf numFmtId="14" fontId="0" fillId="0" borderId="16" xfId="0" applyNumberFormat="1" applyBorder="1"/>
    <xf numFmtId="14" fontId="0" fillId="0" borderId="18" xfId="0" applyNumberFormat="1" applyBorder="1"/>
    <xf numFmtId="1" fontId="0" fillId="0" borderId="19" xfId="0" applyNumberFormat="1" applyBorder="1"/>
    <xf numFmtId="1" fontId="0" fillId="0" borderId="21" xfId="0" applyNumberFormat="1" applyBorder="1"/>
    <xf numFmtId="1" fontId="0" fillId="0" borderId="0" xfId="0" applyNumberFormat="1"/>
    <xf numFmtId="0" fontId="4" fillId="5" borderId="14" xfId="0" applyFont="1" applyFill="1" applyBorder="1" applyAlignment="1">
      <alignment horizontal="center"/>
    </xf>
    <xf numFmtId="0" fontId="4" fillId="5" borderId="15" xfId="0" applyFont="1" applyFill="1" applyBorder="1" applyAlignment="1">
      <alignment horizontal="center"/>
    </xf>
    <xf numFmtId="0" fontId="4" fillId="6" borderId="14" xfId="0" applyFont="1" applyFill="1" applyBorder="1" applyAlignment="1">
      <alignment horizontal="center"/>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2" fillId="4" borderId="9" xfId="0" applyFont="1" applyFill="1" applyBorder="1" applyAlignment="1">
      <alignment horizontal="center"/>
    </xf>
    <xf numFmtId="0" fontId="2" fillId="4" borderId="12" xfId="0" applyFont="1" applyFill="1" applyBorder="1" applyAlignment="1">
      <alignment horizontal="center"/>
    </xf>
    <xf numFmtId="0" fontId="2" fillId="4" borderId="8" xfId="0" applyFont="1" applyFill="1" applyBorder="1" applyAlignment="1">
      <alignment horizontal="center"/>
    </xf>
    <xf numFmtId="0" fontId="2" fillId="4" borderId="3" xfId="0" applyFont="1" applyFill="1" applyBorder="1" applyAlignment="1">
      <alignment horizontal="center" wrapText="1"/>
    </xf>
    <xf numFmtId="0" fontId="11" fillId="0" borderId="0" xfId="0" applyFont="1" applyBorder="1" applyAlignment="1">
      <alignment horizontal="left" vertical="center"/>
    </xf>
    <xf numFmtId="0" fontId="4" fillId="6" borderId="13" xfId="0" applyFont="1" applyFill="1" applyBorder="1" applyAlignment="1">
      <alignment horizontal="center"/>
    </xf>
    <xf numFmtId="0" fontId="4" fillId="6" borderId="15" xfId="0" applyFont="1" applyFill="1" applyBorder="1" applyAlignment="1">
      <alignment horizontal="center"/>
    </xf>
    <xf numFmtId="2" fontId="4" fillId="7" borderId="16" xfId="0" applyNumberFormat="1" applyFont="1" applyFill="1" applyBorder="1" applyAlignment="1">
      <alignment horizontal="center" wrapText="1"/>
    </xf>
    <xf numFmtId="2" fontId="4" fillId="7" borderId="0" xfId="0" applyNumberFormat="1" applyFont="1" applyFill="1" applyBorder="1" applyAlignment="1">
      <alignment horizontal="center" wrapText="1"/>
    </xf>
    <xf numFmtId="0" fontId="4" fillId="7" borderId="0" xfId="0" applyFont="1" applyFill="1" applyBorder="1" applyAlignment="1">
      <alignment horizontal="center" wrapText="1"/>
    </xf>
    <xf numFmtId="1" fontId="0" fillId="0" borderId="18" xfId="0" applyNumberFormat="1" applyBorder="1"/>
    <xf numFmtId="0" fontId="0" fillId="0" borderId="0" xfId="0" applyBorder="1"/>
    <xf numFmtId="0" fontId="4" fillId="5" borderId="13" xfId="0" applyFont="1" applyFill="1" applyBorder="1" applyAlignment="1">
      <alignment horizontal="center"/>
    </xf>
    <xf numFmtId="0" fontId="4" fillId="7" borderId="16" xfId="0" applyFont="1" applyFill="1" applyBorder="1" applyAlignment="1">
      <alignment horizontal="center" wrapText="1"/>
    </xf>
  </cellXfs>
  <cellStyles count="2">
    <cellStyle name="Normal" xfId="0" builtinId="0"/>
    <cellStyle name="Percent" xfId="1" builtinId="5"/>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style="medium">
          <color indexed="64"/>
        </left>
        <top/>
        <bottom/>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dxf>
    <dxf>
      <numFmt numFmtId="164" formatCode="0.0%"/>
      <border diagonalUp="0" diagonalDown="0">
        <left/>
        <right style="thin">
          <color indexed="64"/>
        </right>
        <top/>
        <bottom/>
        <horizontal/>
      </border>
    </dxf>
    <dxf>
      <border diagonalUp="0" diagonalDown="0">
        <left style="medium">
          <color indexed="64"/>
        </left>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vertical/>
        <horizontal/>
      </border>
    </dxf>
    <dxf>
      <numFmt numFmtId="164" formatCode="0.0%"/>
      <border diagonalUp="0" diagonalDown="0">
        <left/>
        <right style="thin">
          <color indexed="64"/>
        </right>
        <top/>
        <bottom/>
        <horizontal/>
      </border>
    </dxf>
    <dxf>
      <numFmt numFmtId="1" formatCode="0"/>
    </dxf>
    <dxf>
      <numFmt numFmtId="1" formatCode="0"/>
      <border diagonalUp="0" diagonalDown="0">
        <left style="medium">
          <color indexed="64"/>
        </left>
        <right/>
        <top/>
        <bottom/>
        <horizontal/>
      </border>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4"/>
        <name val="Calibri"/>
        <family val="2"/>
        <scheme val="minor"/>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style="medium">
          <color indexed="64"/>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style="medium">
          <color indexed="64"/>
        </bottom>
        <vertical/>
        <horizontal/>
      </border>
    </dxf>
    <dxf>
      <font>
        <b val="0"/>
        <i val="0"/>
        <strike val="0"/>
        <condense val="0"/>
        <extend val="0"/>
        <outline val="0"/>
        <shadow val="0"/>
        <u val="none"/>
        <vertAlign val="baseline"/>
        <sz val="11"/>
        <color theme="4"/>
        <name val="Calibri"/>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theme="4"/>
        <name val="Calibri"/>
        <family val="2"/>
        <scheme val="minor"/>
      </font>
      <numFmt numFmtId="1" formatCode="0"/>
      <alignment horizontal="center" vertical="bottom" textRotation="0" wrapText="0" indent="0" justifyLastLine="0" shrinkToFit="0" readingOrder="0"/>
      <border diagonalUp="0" diagonalDown="0">
        <left style="thin">
          <color indexed="64"/>
        </left>
        <right/>
        <top/>
        <bottom style="medium">
          <color indexed="64"/>
        </bottom>
        <vertical/>
        <horizontal/>
      </border>
    </dxf>
    <dxf>
      <numFmt numFmtId="19" formatCode="m/d/yyyy"/>
      <border diagonalUp="0" diagonalDown="0">
        <left style="thin">
          <color indexed="64"/>
        </left>
        <right/>
        <top/>
        <bottom style="medium">
          <color indexed="64"/>
        </bottom>
        <vertical/>
        <horizontal/>
      </border>
    </dxf>
    <dxf>
      <numFmt numFmtId="19" formatCode="m/d/yyyy"/>
      <border diagonalUp="0" diagonalDown="0" outline="0">
        <left style="thin">
          <color indexed="64"/>
        </left>
        <right/>
        <top/>
        <bottom/>
      </border>
    </dxf>
    <dxf>
      <border outline="0">
        <right style="thin">
          <color indexed="64"/>
        </right>
      </border>
    </dxf>
    <dxf>
      <font>
        <b/>
        <i val="0"/>
        <strike val="0"/>
        <condense val="0"/>
        <extend val="0"/>
        <outline val="0"/>
        <shadow val="0"/>
        <u val="none"/>
        <vertAlign val="baseline"/>
        <sz val="11"/>
        <color theme="1"/>
        <name val="Calibri"/>
        <family val="2"/>
        <scheme val="minor"/>
      </font>
      <fill>
        <patternFill patternType="solid">
          <fgColor indexed="64"/>
          <bgColor theme="4" tint="-0.499984740745262"/>
        </patternFill>
      </fill>
      <alignment horizontal="center" vertical="bottom" textRotation="0" wrapText="1" indent="0" justifyLastLine="0" shrinkToFit="0" readingOrder="0"/>
    </dxf>
    <dxf>
      <numFmt numFmtId="19" formatCode="m/d/yyyy"/>
      <border diagonalUp="0" diagonalDown="0">
        <left style="medium">
          <color indexed="64"/>
        </left>
        <right style="thin">
          <color indexed="64"/>
        </right>
        <top/>
        <bottom/>
        <vertical/>
        <horizontal/>
      </border>
    </dxf>
    <dxf>
      <numFmt numFmtId="19" formatCode="m/d/yyyy"/>
      <border diagonalUp="0" diagonalDown="0">
        <left style="medium">
          <color indexed="64"/>
        </left>
        <right style="thin">
          <color indexed="64"/>
        </right>
        <top/>
        <bottom/>
        <vertical/>
        <horizontal/>
      </border>
    </dxf>
    <dxf>
      <border diagonalUp="0" diagonalDown="0">
        <left style="medium">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4" tint="-0.499984740745262"/>
        </patternFill>
      </fill>
      <alignment horizontal="center" vertical="bottom" textRotation="0" wrapText="1" indent="0" justifyLastLine="0" shrinkToFit="0" readingOrder="0"/>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 formatCode="0"/>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10</xdr:col>
      <xdr:colOff>609599</xdr:colOff>
      <xdr:row>5</xdr:row>
      <xdr:rowOff>0</xdr:rowOff>
    </xdr:to>
    <xdr:sp macro="" textlink="">
      <xdr:nvSpPr>
        <xdr:cNvPr id="2" name="TextBox 1">
          <a:extLst>
            <a:ext uri="{FF2B5EF4-FFF2-40B4-BE49-F238E27FC236}">
              <a16:creationId xmlns:a16="http://schemas.microsoft.com/office/drawing/2014/main" id="{D30625CF-7C19-45F7-874B-0DF9244E4296}"/>
            </a:ext>
          </a:extLst>
        </xdr:cNvPr>
        <xdr:cNvSpPr txBox="1"/>
      </xdr:nvSpPr>
      <xdr:spPr>
        <a:xfrm>
          <a:off x="2438400" y="552450"/>
          <a:ext cx="3657599" cy="36830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Please enter </a:t>
          </a:r>
          <a:r>
            <a:rPr lang="en-US" sz="1600" b="1" u="sng">
              <a:solidFill>
                <a:schemeClr val="bg1"/>
              </a:solidFill>
            </a:rPr>
            <a:t>2022</a:t>
          </a:r>
          <a:r>
            <a:rPr lang="en-US" sz="1600" b="1">
              <a:solidFill>
                <a:schemeClr val="bg1"/>
              </a:solidFill>
            </a:rPr>
            <a:t> Commercial data</a:t>
          </a:r>
          <a:r>
            <a:rPr lang="en-US" sz="1600" b="1" baseline="0">
              <a:solidFill>
                <a:schemeClr val="bg1"/>
              </a:solidFill>
            </a:rPr>
            <a:t> in this tab.</a:t>
          </a:r>
          <a:endParaRPr lang="en-US" sz="16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1DBDE0-FAFF-44B7-B848-E41219B9DC36}" name="LgProvEntOrgID" displayName="LgProvEntOrgID" ref="B9:C17" totalsRowShown="0" headerRowDxfId="86" dataDxfId="84" headerRowBorderDxfId="85" tableBorderDxfId="83" totalsRowBorderDxfId="82">
  <tableColumns count="2">
    <tableColumn id="1" xr3:uid="{C820250B-C2D9-45F7-9A99-493AA8D9F89D}" name="ACO Organization Identification Number" dataDxfId="81"/>
    <tableColumn id="2" xr3:uid="{1313C00B-88ED-4575-AFA7-53A91F8B780E}" name="ACO" dataDxfId="8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E37FA3-7FD5-4495-BBC5-2E196BCD9874}" name="Table9" displayName="Table9" ref="B3:C7" totalsRowShown="0" headerRowDxfId="79" headerRowBorderDxfId="78" tableBorderDxfId="77" totalsRowBorderDxfId="76">
  <tableColumns count="2">
    <tableColumn id="1" xr3:uid="{1F75ABCC-211A-4C05-901D-3D38222289F7}" name="Insurer Organization Identification Number" dataDxfId="75"/>
    <tableColumn id="2" xr3:uid="{753FA833-C187-478E-BF30-C9AE1DAC647C}" name="Insurer" dataDxfId="74"/>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F82391-3D7F-41C0-891A-A8CE0996D74D}" name="ACOCommercial2022" displayName="ACOCommercial2022" ref="B15:AE26" totalsRowShown="0" headerRowDxfId="73">
  <autoFilter ref="B15:AE26" xr:uid="{4EF82391-3D7F-41C0-891A-A8CE0996D74D}"/>
  <tableColumns count="30">
    <tableColumn id="1" xr3:uid="{99BC5FD5-ADB1-4D25-A7A0-5F72E420F0D6}" name="ACO Org ID" dataDxfId="72"/>
    <tableColumn id="3" xr3:uid="{52029C14-E251-405C-9CC7-976EA9E7DB29}" name="Performance Period Beginning Date" dataDxfId="71"/>
    <tableColumn id="2" xr3:uid="{39C8468C-3DB7-4B39-9A79-2DDC71368D03}" name="Performance Period End Date" dataDxfId="70"/>
    <tableColumn id="4" xr3:uid="{58BC06CE-89D7-4EE7-BD55-63F9E0B7A990}" name="Breast Cancer Screening - Numerator" dataDxfId="31"/>
    <tableColumn id="5" xr3:uid="{5A9F8F9C-9F37-48B9-934A-211D379D0B6B}" name="Breast Cancer Screening - Denominator"/>
    <tableColumn id="6" xr3:uid="{F46A1F8C-D119-42B4-88B8-992FFFB4B77B}" name="Breast Cancer Screening - Performance" dataDxfId="30" dataCellStyle="Percent">
      <calculatedColumnFormula>IFERROR(ACOCommercial2022[[#This Row],[Breast Cancer Screening - Numerator]]/ACOCommercial2022[[#This Row],[Breast Cancer Screening - Denominator]],"-")</calculatedColumnFormula>
    </tableColumn>
    <tableColumn id="20" xr3:uid="{FECA1F1F-8C18-4EF1-94CA-DBF7151E4BB4}" name="Colorectal Cancer Screening - Numerator" dataDxfId="29"/>
    <tableColumn id="19" xr3:uid="{F57F473A-49D8-49F8-B559-EAAD1A3947E1}" name="Colorectal Cancer Screening - Denominator" dataDxfId="28"/>
    <tableColumn id="21" xr3:uid="{5F70704D-C037-4CAA-8E5D-C9B8726D7D1D}" name="Colorectal Cancer Screening - Performance" dataDxfId="27" dataCellStyle="Percent">
      <calculatedColumnFormula>IFERROR(ACOCommercial2022[[#This Row],[Breast Cancer Screening - Numerator]]/ACOCommercial2022[[#This Row],[Breast Cancer Screening - Denominator]],"-")</calculatedColumnFormula>
    </tableColumn>
    <tableColumn id="18" xr3:uid="{CE00D3DC-34E8-4467-B1A7-357757B9C437}" name="Controlling High Blood Pressure - Numerator" dataDxfId="26"/>
    <tableColumn id="17" xr3:uid="{B2FD8D30-CA3F-48D4-95D3-E218846717AB}" name="Controlling High Blood Pressure - Denominator" dataDxfId="25"/>
    <tableColumn id="16" xr3:uid="{D6C2A925-A984-4560-A727-8B70F433EFA4}" name="Controlling High Blood Pressure - Performance" dataDxfId="24" dataCellStyle="Percent">
      <calculatedColumnFormula>IFERROR(ACOCommercial2022[[#This Row],[Breast Cancer Screening - Numerator]]/ACOCommercial2022[[#This Row],[Breast Cancer Screening - Denominator]],"-")</calculatedColumnFormula>
    </tableColumn>
    <tableColumn id="24" xr3:uid="{0FBA5C59-4789-4C79-869B-21B75237CDD4}" name="Eye Exam for Patients with Diabetes - Numerator" dataDxfId="23"/>
    <tableColumn id="23" xr3:uid="{008144C7-16BD-4D4C-8801-578B82539717}" name="Eye Exam for Patients with Diabetes - Denominator" dataDxfId="22"/>
    <tableColumn id="22" xr3:uid="{F0E1ACFB-B490-42F5-BCC8-D1CDD5C3BD95}" name="Eye Exam for Patients with Diabetes - Performance" dataDxfId="21" dataCellStyle="Percent">
      <calculatedColumnFormula>IFERROR(ACOCommercial2022[[#This Row],[Breast Cancer Screening - Numerator]]/ACOCommercial2022[[#This Row],[Breast Cancer Screening - Denominator]],"-")</calculatedColumnFormula>
    </tableColumn>
    <tableColumn id="27" xr3:uid="{6C6203CE-2F91-416B-83CD-15C5732275D5}" name="Follow-Up After Hospitalization for Mental Illness (7-Day) - Numerator" dataDxfId="20"/>
    <tableColumn id="26" xr3:uid="{79A71EDA-55EA-4FA7-8068-659AC10445A8}" name="Follow-Up After Hospitalization for Mental Illness (7-Day) - Denominator" dataDxfId="19"/>
    <tableColumn id="25" xr3:uid="{2C6FCC06-264B-4D59-942D-9633FA45C3E2}" name="Follow-Up After Hospitalization for Mental Illness (7-Day) - Performance" dataDxfId="18" dataCellStyle="Percent">
      <calculatedColumnFormula>IFERROR(ACOCommercial2022[[#This Row],[Breast Cancer Screening - Numerator]]/ACOCommercial2022[[#This Row],[Breast Cancer Screening - Denominator]],"-")</calculatedColumnFormula>
    </tableColumn>
    <tableColumn id="30" xr3:uid="{BFB16BD6-9253-4AB9-B53F-F7E957509233}" name="Hemoglobin A1c Control for Patients with Diabetes: HbA1c Control (&lt;8.0%) - Numerator" dataDxfId="17"/>
    <tableColumn id="29" xr3:uid="{FC782496-1066-455A-87D2-1FA48DC90463}" name="Hemoglobin A1c Control for Patients with Diabetes: HbA1c Control (&lt;8.0%) - Denominator" dataDxfId="16"/>
    <tableColumn id="28" xr3:uid="{C12908AE-ABF6-4FAE-BF58-30F3778E6694}" name="Hemoglobin A1c Control for Patients with Diabetes: HbA1c Control (&lt;8.0%) - Performance" dataDxfId="15">
      <calculatedColumnFormula>IFERROR(ACOCommercial2022[[#This Row],[Hemoglobin A1c Control for Patients with Diabetes: HbA1c Control (&lt;8.0%) - Numerator]]/ACOCommercial2022[[#This Row],[Hemoglobin A1c Control for Patients with Diabetes: HbA1c Control (&lt;8.0%) - Denominator]],"-")</calculatedColumnFormula>
    </tableColumn>
    <tableColumn id="33" xr3:uid="{7F583521-E3B4-423B-98A9-CF9A312A4938}" name="Child and Adolescent Well-Care Visits (ages 12-17) - Numerator" dataDxfId="14"/>
    <tableColumn id="32" xr3:uid="{8F9320A9-0BE8-401E-8BCD-837FE146E09C}" name="Child and Adolescent Well-Care Visits (ages 12-17) - Denominator" dataDxfId="13"/>
    <tableColumn id="31" xr3:uid="{20DB2C9F-FC09-4467-8F93-AE7BBB67D89D}" name="Child and Adolescent Well-Care Visits (ages 12-17) - Performance" dataDxfId="12">
      <calculatedColumnFormula>IFERROR(ACOCommercial2022[[#This Row],[Child and Adolescent Well-Care Visits (ages 12-17) - Numerator]]/ACOCommercial2022[[#This Row],[Child and Adolescent Well-Care Visits (ages 12-17) - Denominator]],"-")</calculatedColumnFormula>
    </tableColumn>
    <tableColumn id="9" xr3:uid="{E2796106-1245-4747-93D5-7DBF7E0206AF}" name="Child and Adolescent Well-Care Visits (ages 18-21) - Numerator" dataDxfId="11" dataCellStyle="Percent"/>
    <tableColumn id="8" xr3:uid="{72520AE5-0A91-41D4-9694-4F3C69F2A8CE}" name="Child and Adolescent Well-Care Visits (ages 18-21) - Denominator" dataDxfId="10" dataCellStyle="Percent"/>
    <tableColumn id="7" xr3:uid="{D4E69D20-7EA1-4734-B46C-76E1BF754E9D}" name="Child and Adolescent Well-Care Visits (ages 18-21) - Performance" dataDxfId="9" dataCellStyle="Percent"/>
    <tableColumn id="36" xr3:uid="{C2047DDB-2A60-41A9-9ECB-6B9D18491D82}" name="Developmental Screening in the First Three Years of Life - Numerator" dataDxfId="8"/>
    <tableColumn id="35" xr3:uid="{5A13C094-52E9-4237-9DCA-52667C40E2FB}" name="Developmental Screening in the First Three Years of Life - Denominator" dataDxfId="7"/>
    <tableColumn id="34" xr3:uid="{F0FB89FF-4A40-4DEF-9CF8-EE1223F89911}" name="Developmental Screening in the First Three Years of Life - Performance" dataDxfId="6">
      <calculatedColumnFormula>IFERROR(ACOCommercial2022[[#This Row],[Developmental Screening in the First Three Years of Life - Numerator]]/ACOCommercial2022[[#This Row],[Developmental Screening in the First Three Years of Life - Denominator]],"-")</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B2DD50-2B8B-4FC6-BD48-74B686C1E2AA}" name="InsurerCommercial2022" displayName="InsurerCommercial2022" ref="B10:AE11" totalsRowShown="0" headerRowDxfId="69">
  <autoFilter ref="B10:AE11" xr:uid="{4EB2DD50-2B8B-4FC6-BD48-74B686C1E2AA}"/>
  <tableColumns count="30">
    <tableColumn id="1" xr3:uid="{D0E691B4-A7AC-48AE-9D35-DE67E9CDBA0B}" name="Insurer Org ID" dataDxfId="68"/>
    <tableColumn id="3" xr3:uid="{45905BB4-1E59-482D-BC67-5EB60920B71F}" name="Performance Period Beginning Date" dataDxfId="67"/>
    <tableColumn id="2" xr3:uid="{F2D50405-0719-4E9E-AD4A-E4DDBAACA3FA}" name="Performance Period End Date" dataDxfId="66"/>
    <tableColumn id="4" xr3:uid="{A7AAB9B6-EA54-4CD4-99C2-3871D4A555FE}" name="Breast Cancer Screening - Numerator" dataDxfId="49"/>
    <tableColumn id="5" xr3:uid="{DB268222-F4B6-48B9-9814-6D688FFA4ED4}" name="Breast Cancer Screening - Denominator" dataDxfId="48"/>
    <tableColumn id="6" xr3:uid="{ADA3C19C-A92B-41D3-9A5D-A4A39EF7FBE3}" name="Breast Cancer Screening - Performance" dataDxfId="47" dataCellStyle="Percent">
      <calculatedColumnFormula>IFERROR(InsurerCommercial2022[[#This Row],[Breast Cancer Screening - Numerator]]/InsurerCommercial2022[[#This Row],[Breast Cancer Screening - Denominator]],"-")</calculatedColumnFormula>
    </tableColumn>
    <tableColumn id="20" xr3:uid="{2E14B272-6B71-4517-A368-C01FF84EA4EE}" name="Colorectal Cancer Screening - Numerator" dataDxfId="46"/>
    <tableColumn id="19" xr3:uid="{420AE89F-BBEE-44B0-ABC5-A7B41247790F}" name="Colorectal Cancer Screening - Denominator" dataDxfId="45"/>
    <tableColumn id="21" xr3:uid="{CD8BC7F0-AFEA-4D2B-99A6-0B32D80242BE}" name="Colorectal Cancer Screening - Performance" dataDxfId="44" dataCellStyle="Percent">
      <calculatedColumnFormula>IFERROR(InsurerCommercial2022[[#This Row],[Colorectal Cancer Screening - Numerator]]/InsurerCommercial2022[[#This Row],[Colorectal Cancer Screening - Denominator]],"-")</calculatedColumnFormula>
    </tableColumn>
    <tableColumn id="18" xr3:uid="{75A2519E-E854-4D86-8A1F-FF400703E4ED}" name="Controlling High Blood Pressure - Numerator" dataDxfId="43"/>
    <tableColumn id="17" xr3:uid="{C20D752C-EA91-4E19-B4B4-733D1F86284E}" name="Controlling High Blood Pressure - Denominator" dataDxfId="42"/>
    <tableColumn id="16" xr3:uid="{6207FF3E-A947-4642-8806-C829FBAAC8C5}" name="Controlling High Blood Pressure - Performance" dataDxfId="41" dataCellStyle="Percent">
      <calculatedColumnFormula>IFERROR(InsurerCommercial2022[[#This Row],[Controlling High Blood Pressure - Numerator]]/InsurerCommercial2022[[#This Row],[Controlling High Blood Pressure - Denominator]],"-")</calculatedColumnFormula>
    </tableColumn>
    <tableColumn id="24" xr3:uid="{CAAE4BBF-EC0E-48E8-A4B1-AB3E1AE38911}" name="Eye Exam for Patients with Diabetes - Numerator" dataDxfId="40"/>
    <tableColumn id="23" xr3:uid="{75F843F5-B760-4986-8E21-752296494237}" name="Eye Exam for Patients with Diabetes - Denominator" dataDxfId="39"/>
    <tableColumn id="22" xr3:uid="{E9E236FB-4CA6-4F1A-B955-62E97A1786A3}" name="Eye Exam for Patients with Diabetes - Performance" dataDxfId="38" dataCellStyle="Percent">
      <calculatedColumnFormula>IFERROR(InsurerCommercial2022[[#This Row],[Eye Exam for Patients with Diabetes - Numerator]]/InsurerCommercial2022[[#This Row],[Eye Exam for Patients with Diabetes - Denominator]],"-")</calculatedColumnFormula>
    </tableColumn>
    <tableColumn id="27" xr3:uid="{4B9B941B-4382-4DF6-8BAF-B9E63C929E39}" name="Follow-Up After Hospitalization for Mental Illness (7-Day) - Numerator" dataDxfId="37"/>
    <tableColumn id="26" xr3:uid="{96B49494-C9CB-4066-93EB-CAC5AD274843}" name="Follow-Up After Hospitalization for Mental Illness (7-Day) - Denominator" dataDxfId="36"/>
    <tableColumn id="25" xr3:uid="{CFC917AC-2C3C-4691-B48B-5819D50CDA7D}" name="Follow-Up After Hospitalization for Mental Illness (7-Day) - Performance" dataDxfId="35" dataCellStyle="Percent">
      <calculatedColumnFormula>IFERROR(InsurerCommercial2022[[#This Row],[Follow-Up After Hospitalization for Mental Illness (7-Day) - Numerator]]/InsurerCommercial2022[[#This Row],[Follow-Up After Hospitalization for Mental Illness (7-Day) - Denominator]],"-")</calculatedColumnFormula>
    </tableColumn>
    <tableColumn id="12" xr3:uid="{10244A8A-B22F-460E-AB46-729C6B8880C1}" name="Hemoglobin A1c Control for Patients with Diabetes: HbA1c Control (&lt;8.0%) - Numerator" dataDxfId="34" dataCellStyle="Percent"/>
    <tableColumn id="11" xr3:uid="{26AAEACE-54A4-4083-BC6E-99CE19215A3D}" name="Hemoglobin A1c Control for Patients with Diabetes: HbA1c Control (&lt;8.0%) - Denominator" dataDxfId="33" dataCellStyle="Percent"/>
    <tableColumn id="10" xr3:uid="{ED107AD0-040F-4155-AB90-DBC02AF5959E}" name="Hemoglobin A1c Control for Patients with Diabetes: HbA1c Control (&lt;8.0%) - Performance" dataDxfId="32" dataCellStyle="Percent">
      <calculatedColumnFormula>IFERROR(InsurerCommercial2022[[#This Row],[Hemoglobin A1c Control for Patients with Diabetes: HbA1c Control (&lt;8.0%) - Numerator]]/InsurerCommercial2022[[#This Row],[Hemoglobin A1c Control for Patients with Diabetes: HbA1c Control (&lt;8.0%) - Denominator]],"-")</calculatedColumnFormula>
    </tableColumn>
    <tableColumn id="30" xr3:uid="{53EC6A49-E7FB-4DB6-B31D-4ACCA2800E89}" name="Child and Adolescent Well-Care Visits (ages 12-17) - Numerator" dataDxfId="65"/>
    <tableColumn id="29" xr3:uid="{938C1214-C7AF-4202-A5B3-7EC6A7C01A9F}" name="Child and Adolescent Well-Care Visits (ages 12-17) - Denominator" dataDxfId="64"/>
    <tableColumn id="28" xr3:uid="{DD75DFB0-8043-4B0B-B7EE-2F89097AFB37}" name="Child and Adolescent Well-Care Visits (ages 12-17) - Performance" dataDxfId="63">
      <calculatedColumnFormula>IFERROR(InsurerCommercial2022[[#This Row],[Child and Adolescent Well-Care Visits (ages 12-17) - Numerator]]/InsurerCommercial2022[[#This Row],[Child and Adolescent Well-Care Visits (ages 12-17) - Denominator]],"-")</calculatedColumnFormula>
    </tableColumn>
    <tableColumn id="33" xr3:uid="{32857742-9938-41C6-BE80-4F2B2F841DC4}" name="Child and Adolescent Well-Care Visits (ages 18-21) - Numerator" dataDxfId="62"/>
    <tableColumn id="32" xr3:uid="{127B8F52-A760-4320-8D88-338527A331F6}" name="Child and Adolescent Well-Care Visits (ages 18-21) - Denominator" dataDxfId="61"/>
    <tableColumn id="31" xr3:uid="{2338620C-9729-4B32-9ECC-CD003592E762}" name="Child and Adolescent Well-Care Visits (ages 18-21) - Performance" dataDxfId="60">
      <calculatedColumnFormula>IFERROR(InsurerCommercial2022[[#This Row],[Child and Adolescent Well-Care Visits (ages 18-21) - Numerator]]/InsurerCommercial2022[[#This Row],[Child and Adolescent Well-Care Visits (ages 18-21) - Denominator]],"-")</calculatedColumnFormula>
    </tableColumn>
    <tableColumn id="9" xr3:uid="{2CCDE358-7AF2-491C-B792-B1DBCBAF0430}" name="Developmental Screening in the First Three Years of Life - Numerator" dataDxfId="59" dataCellStyle="Percent"/>
    <tableColumn id="8" xr3:uid="{84B0CF69-7CDF-4AE3-9928-2AA959F8950A}" name="Developmental Screening in the First Three Years of Life - Denominator" dataDxfId="58" dataCellStyle="Percent"/>
    <tableColumn id="7" xr3:uid="{E1B061F2-E162-4164-A16B-2D5B389D0607}" name="Developmental Screening in the First Three Years of Life - Performance" dataDxfId="57" dataCellStyle="Percent">
      <calculatedColumnFormula>IFERROR(InsurerCommercial2022[[#This Row],[Developmental Screening in the First Three Years of Life - Numerator]]/InsurerCommercial2022[[#This Row],[Developmental Screening in the First Three Years of Life - Denominator]],"-")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C3EE13-F8CC-4679-BD2D-DF5C96746805}" name="Table3" displayName="Table3" ref="B8:D15" totalsRowShown="0" headerRowDxfId="56" headerRowBorderDxfId="55" tableBorderDxfId="54" totalsRowBorderDxfId="53">
  <autoFilter ref="B8:D15" xr:uid="{75C3EE13-F8CC-4679-BD2D-DF5C96746805}"/>
  <tableColumns count="3">
    <tableColumn id="1" xr3:uid="{9DCF5A45-60DC-4A1A-A0E3-F67702DF3F77}" name="Questions" dataDxfId="52"/>
    <tableColumn id="2" xr3:uid="{7B37E965-0C8C-4818-AC10-921E0893CFA9}" name="Response - 2021 Reporting" dataDxfId="51"/>
    <tableColumn id="3" xr3:uid="{21EA3B02-E003-4BF7-8206-A0C1B2C6F6E6}" name="Comments" dataDxfId="5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75F6-67D2-49A9-BFD2-7D25CDC59CE1}">
  <dimension ref="B1:D10"/>
  <sheetViews>
    <sheetView tabSelected="1" zoomScaleNormal="100" workbookViewId="0">
      <selection activeCell="B1" sqref="B1"/>
    </sheetView>
  </sheetViews>
  <sheetFormatPr defaultRowHeight="15" x14ac:dyDescent="0.25"/>
  <cols>
    <col min="1" max="1" width="2.5703125" customWidth="1"/>
    <col min="2" max="2" width="22.85546875" customWidth="1"/>
    <col min="3" max="3" width="19.85546875" customWidth="1"/>
    <col min="4" max="4" width="85.28515625" customWidth="1"/>
    <col min="5" max="6" width="9.42578125" customWidth="1"/>
    <col min="7" max="7" width="9.140625" customWidth="1"/>
  </cols>
  <sheetData>
    <row r="1" spans="2:4" ht="18.75" x14ac:dyDescent="0.3">
      <c r="B1" s="10" t="s">
        <v>44</v>
      </c>
    </row>
    <row r="3" spans="2:4" x14ac:dyDescent="0.25">
      <c r="B3" s="1" t="s">
        <v>35</v>
      </c>
    </row>
    <row r="5" spans="2:4" x14ac:dyDescent="0.25">
      <c r="B5" s="5" t="s">
        <v>36</v>
      </c>
      <c r="C5" s="5" t="s">
        <v>37</v>
      </c>
      <c r="D5" s="5" t="s">
        <v>38</v>
      </c>
    </row>
    <row r="6" spans="2:4" ht="30" x14ac:dyDescent="0.25">
      <c r="B6" s="55" t="s">
        <v>43</v>
      </c>
      <c r="C6" s="54" t="s">
        <v>42</v>
      </c>
      <c r="D6" s="12" t="s">
        <v>90</v>
      </c>
    </row>
    <row r="7" spans="2:4" ht="30" x14ac:dyDescent="0.25">
      <c r="B7" s="55" t="s">
        <v>105</v>
      </c>
      <c r="C7" s="54" t="s">
        <v>40</v>
      </c>
      <c r="D7" s="12" t="s">
        <v>106</v>
      </c>
    </row>
    <row r="8" spans="2:4" ht="30" x14ac:dyDescent="0.25">
      <c r="B8" s="55" t="s">
        <v>39</v>
      </c>
      <c r="C8" s="54" t="s">
        <v>40</v>
      </c>
      <c r="D8" s="12" t="s">
        <v>41</v>
      </c>
    </row>
    <row r="9" spans="2:4" ht="90" x14ac:dyDescent="0.25">
      <c r="B9" s="55" t="s">
        <v>63</v>
      </c>
      <c r="C9" s="54" t="s">
        <v>42</v>
      </c>
      <c r="D9" s="14" t="s">
        <v>88</v>
      </c>
    </row>
    <row r="10" spans="2:4" ht="90" x14ac:dyDescent="0.25">
      <c r="B10" s="55" t="s">
        <v>91</v>
      </c>
      <c r="C10" s="54" t="s">
        <v>42</v>
      </c>
      <c r="D10" s="14" t="s">
        <v>88</v>
      </c>
    </row>
  </sheetData>
  <sheetProtection algorithmName="SHA-512" hashValue="bz3f0v/L57vVBsa/l2tE+wdzR9vXUbTROAsQnCAFiJMTK5OE1xqSbB8/+sA7/63B/6rqyJTejccIkrPjr125lA==" saltValue="ssfFdljw2oMdbdrH/ENH1w=="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D61DF-D497-4EF0-8E1B-03C9146584C1}">
  <dimension ref="B1:F28"/>
  <sheetViews>
    <sheetView zoomScaleNormal="100" workbookViewId="0">
      <selection activeCell="B1" sqref="B1"/>
    </sheetView>
  </sheetViews>
  <sheetFormatPr defaultRowHeight="15" x14ac:dyDescent="0.25"/>
  <cols>
    <col min="1" max="1" width="2.5703125" customWidth="1"/>
    <col min="2" max="6" width="60.7109375" customWidth="1"/>
  </cols>
  <sheetData>
    <row r="1" spans="2:3" ht="18.75" x14ac:dyDescent="0.3">
      <c r="B1" s="10" t="s">
        <v>43</v>
      </c>
    </row>
    <row r="3" spans="2:3" x14ac:dyDescent="0.25">
      <c r="B3" s="32" t="s">
        <v>61</v>
      </c>
      <c r="C3" s="33" t="s">
        <v>62</v>
      </c>
    </row>
    <row r="4" spans="2:3" x14ac:dyDescent="0.25">
      <c r="B4" s="19">
        <v>201</v>
      </c>
      <c r="C4" s="53" t="s">
        <v>57</v>
      </c>
    </row>
    <row r="5" spans="2:3" x14ac:dyDescent="0.25">
      <c r="B5" s="19">
        <v>202</v>
      </c>
      <c r="C5" s="53" t="s">
        <v>58</v>
      </c>
    </row>
    <row r="6" spans="2:3" x14ac:dyDescent="0.25">
      <c r="B6" s="19">
        <v>203</v>
      </c>
      <c r="C6" s="53" t="s">
        <v>59</v>
      </c>
    </row>
    <row r="7" spans="2:3" x14ac:dyDescent="0.25">
      <c r="B7" s="19">
        <v>204</v>
      </c>
      <c r="C7" s="53" t="s">
        <v>60</v>
      </c>
    </row>
    <row r="9" spans="2:3" x14ac:dyDescent="0.25">
      <c r="B9" s="17" t="s">
        <v>92</v>
      </c>
      <c r="C9" s="18" t="s">
        <v>93</v>
      </c>
    </row>
    <row r="10" spans="2:3" x14ac:dyDescent="0.25">
      <c r="B10" s="19">
        <v>101</v>
      </c>
      <c r="C10" s="20" t="s">
        <v>27</v>
      </c>
    </row>
    <row r="11" spans="2:3" x14ac:dyDescent="0.25">
      <c r="B11" s="19">
        <v>102</v>
      </c>
      <c r="C11" s="20" t="s">
        <v>28</v>
      </c>
    </row>
    <row r="12" spans="2:3" x14ac:dyDescent="0.25">
      <c r="B12" s="19">
        <v>103</v>
      </c>
      <c r="C12" s="20" t="s">
        <v>29</v>
      </c>
    </row>
    <row r="13" spans="2:3" x14ac:dyDescent="0.25">
      <c r="B13" s="19">
        <v>104</v>
      </c>
      <c r="C13" s="20" t="s">
        <v>30</v>
      </c>
    </row>
    <row r="14" spans="2:3" x14ac:dyDescent="0.25">
      <c r="B14" s="19">
        <v>105</v>
      </c>
      <c r="C14" s="20" t="s">
        <v>31</v>
      </c>
    </row>
    <row r="15" spans="2:3" x14ac:dyDescent="0.25">
      <c r="B15" s="19">
        <v>106</v>
      </c>
      <c r="C15" s="20" t="s">
        <v>32</v>
      </c>
    </row>
    <row r="16" spans="2:3" x14ac:dyDescent="0.25">
      <c r="B16" s="19">
        <v>107</v>
      </c>
      <c r="C16" s="20" t="s">
        <v>33</v>
      </c>
    </row>
    <row r="17" spans="2:6" x14ac:dyDescent="0.25">
      <c r="B17" s="31">
        <v>108</v>
      </c>
      <c r="C17" s="20" t="s">
        <v>54</v>
      </c>
    </row>
    <row r="19" spans="2:6" x14ac:dyDescent="0.25">
      <c r="B19" s="24" t="s">
        <v>25</v>
      </c>
      <c r="C19" s="25" t="s">
        <v>50</v>
      </c>
      <c r="D19" s="24" t="s">
        <v>52</v>
      </c>
      <c r="E19" s="25" t="s">
        <v>80</v>
      </c>
      <c r="F19" s="25" t="s">
        <v>81</v>
      </c>
    </row>
    <row r="20" spans="2:6" ht="30" x14ac:dyDescent="0.25">
      <c r="B20" s="21" t="s">
        <v>6</v>
      </c>
      <c r="C20" s="22" t="s">
        <v>51</v>
      </c>
      <c r="D20" s="23" t="s">
        <v>78</v>
      </c>
      <c r="E20" s="52" t="s">
        <v>82</v>
      </c>
      <c r="F20" s="52" t="s">
        <v>110</v>
      </c>
    </row>
    <row r="21" spans="2:6" ht="45" x14ac:dyDescent="0.25">
      <c r="B21" s="21" t="s">
        <v>109</v>
      </c>
      <c r="C21" s="22" t="s">
        <v>111</v>
      </c>
      <c r="D21" s="23" t="s">
        <v>78</v>
      </c>
      <c r="E21" s="52" t="s">
        <v>82</v>
      </c>
      <c r="F21" s="52" t="s">
        <v>110</v>
      </c>
    </row>
    <row r="22" spans="2:6" ht="30" x14ac:dyDescent="0.25">
      <c r="B22" s="21" t="s">
        <v>7</v>
      </c>
      <c r="C22" s="22" t="s">
        <v>53</v>
      </c>
      <c r="D22" s="23" t="s">
        <v>78</v>
      </c>
      <c r="E22" s="52" t="s">
        <v>83</v>
      </c>
      <c r="F22" s="52" t="s">
        <v>110</v>
      </c>
    </row>
    <row r="23" spans="2:6" ht="45" x14ac:dyDescent="0.25">
      <c r="B23" s="21" t="s">
        <v>112</v>
      </c>
      <c r="C23" s="22" t="s">
        <v>113</v>
      </c>
      <c r="D23" s="23" t="s">
        <v>78</v>
      </c>
      <c r="E23" s="52" t="s">
        <v>83</v>
      </c>
      <c r="F23" s="52" t="s">
        <v>110</v>
      </c>
    </row>
    <row r="24" spans="2:6" ht="60" x14ac:dyDescent="0.25">
      <c r="B24" s="21" t="s">
        <v>8</v>
      </c>
      <c r="C24" s="22" t="s">
        <v>74</v>
      </c>
      <c r="D24" s="23" t="s">
        <v>79</v>
      </c>
      <c r="E24" s="52" t="s">
        <v>83</v>
      </c>
      <c r="F24" s="52" t="s">
        <v>84</v>
      </c>
    </row>
    <row r="25" spans="2:6" ht="75" x14ac:dyDescent="0.25">
      <c r="B25" s="21" t="s">
        <v>107</v>
      </c>
      <c r="C25" s="22" t="s">
        <v>99</v>
      </c>
      <c r="D25" s="23" t="s">
        <v>78</v>
      </c>
      <c r="E25" s="52" t="s">
        <v>83</v>
      </c>
      <c r="F25" s="52" t="s">
        <v>110</v>
      </c>
    </row>
    <row r="26" spans="2:6" ht="90" x14ac:dyDescent="0.25">
      <c r="B26" s="21" t="s">
        <v>5</v>
      </c>
      <c r="C26" s="22" t="s">
        <v>114</v>
      </c>
      <c r="D26" s="23" t="s">
        <v>78</v>
      </c>
      <c r="E26" s="52" t="s">
        <v>82</v>
      </c>
      <c r="F26" s="52" t="s">
        <v>110</v>
      </c>
    </row>
    <row r="27" spans="2:6" ht="45" x14ac:dyDescent="0.25">
      <c r="B27" s="21" t="s">
        <v>108</v>
      </c>
      <c r="C27" s="22" t="s">
        <v>100</v>
      </c>
      <c r="D27" s="23" t="s">
        <v>78</v>
      </c>
      <c r="E27" s="52" t="s">
        <v>83</v>
      </c>
      <c r="F27" s="52" t="s">
        <v>110</v>
      </c>
    </row>
    <row r="28" spans="2:6" x14ac:dyDescent="0.25">
      <c r="B28" s="79" t="s">
        <v>75</v>
      </c>
    </row>
  </sheetData>
  <sheetProtection algorithmName="SHA-512" hashValue="pJme3SOrIsyaC0AWjJL6xxVP1msRMEpE1kEBuQZ9HPEMJcw5wOeNzngEORUXmbUyBI9m0/MHb6RvFOpibI2y4A==" saltValue="DptB6hVpjcwF/qQWEEsAyw==" spinCount="100000" sheet="1" objects="1" scenarios="1"/>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7265-054A-4BA7-AA4D-6C8DEE303EFB}">
  <dimension ref="B1:AE26"/>
  <sheetViews>
    <sheetView zoomScale="70" zoomScaleNormal="100" workbookViewId="0">
      <selection activeCell="B1" sqref="B1"/>
    </sheetView>
  </sheetViews>
  <sheetFormatPr defaultRowHeight="15" x14ac:dyDescent="0.25"/>
  <cols>
    <col min="1" max="1" width="2.5703125" customWidth="1"/>
    <col min="2" max="2" width="29.7109375" customWidth="1"/>
    <col min="3" max="3" width="23.5703125" customWidth="1"/>
    <col min="4" max="4" width="20.140625" customWidth="1"/>
    <col min="5" max="27" width="31" customWidth="1"/>
    <col min="28" max="31" width="32.42578125" customWidth="1"/>
  </cols>
  <sheetData>
    <row r="1" spans="2:31" ht="18.75" x14ac:dyDescent="0.3">
      <c r="B1" s="10" t="s">
        <v>0</v>
      </c>
    </row>
    <row r="2" spans="2:31" ht="18.75" x14ac:dyDescent="0.3">
      <c r="B2" s="10" t="s">
        <v>115</v>
      </c>
    </row>
    <row r="4" spans="2:31" x14ac:dyDescent="0.25">
      <c r="B4" t="s">
        <v>1</v>
      </c>
    </row>
    <row r="5" spans="2:31" x14ac:dyDescent="0.25">
      <c r="B5" s="2" t="s">
        <v>2</v>
      </c>
    </row>
    <row r="8" spans="2:31" ht="16.5" thickBot="1" x14ac:dyDescent="0.3">
      <c r="B8" s="11" t="s">
        <v>56</v>
      </c>
    </row>
    <row r="9" spans="2:31" x14ac:dyDescent="0.25">
      <c r="B9" s="40"/>
      <c r="C9" s="41"/>
      <c r="D9" s="41"/>
      <c r="E9" s="80" t="s">
        <v>46</v>
      </c>
      <c r="F9" s="68"/>
      <c r="G9" s="68"/>
      <c r="H9" s="68"/>
      <c r="I9" s="68"/>
      <c r="J9" s="68"/>
      <c r="K9" s="68"/>
      <c r="L9" s="68"/>
      <c r="M9" s="68"/>
      <c r="N9" s="68"/>
      <c r="O9" s="68"/>
      <c r="P9" s="68"/>
      <c r="Q9" s="68"/>
      <c r="R9" s="68"/>
      <c r="S9" s="68"/>
      <c r="T9" s="68"/>
      <c r="U9" s="68"/>
      <c r="V9" s="81"/>
      <c r="W9" s="66" t="s">
        <v>47</v>
      </c>
      <c r="X9" s="66"/>
      <c r="Y9" s="66"/>
      <c r="Z9" s="66"/>
      <c r="AA9" s="66"/>
      <c r="AB9" s="66"/>
      <c r="AC9" s="66"/>
      <c r="AD9" s="66"/>
      <c r="AE9" s="67"/>
    </row>
    <row r="10" spans="2:31" ht="45" x14ac:dyDescent="0.25">
      <c r="B10" s="42" t="s">
        <v>55</v>
      </c>
      <c r="C10" s="43" t="s">
        <v>103</v>
      </c>
      <c r="D10" s="43" t="s">
        <v>73</v>
      </c>
      <c r="E10" s="82" t="s">
        <v>9</v>
      </c>
      <c r="F10" s="83" t="s">
        <v>10</v>
      </c>
      <c r="G10" s="84" t="s">
        <v>11</v>
      </c>
      <c r="H10" s="84" t="s">
        <v>12</v>
      </c>
      <c r="I10" s="84" t="s">
        <v>13</v>
      </c>
      <c r="J10" s="84" t="s">
        <v>14</v>
      </c>
      <c r="K10" s="84" t="s">
        <v>122</v>
      </c>
      <c r="L10" s="84" t="s">
        <v>123</v>
      </c>
      <c r="M10" s="45" t="s">
        <v>124</v>
      </c>
      <c r="N10" s="84" t="s">
        <v>125</v>
      </c>
      <c r="O10" s="84" t="s">
        <v>126</v>
      </c>
      <c r="P10" s="84" t="s">
        <v>127</v>
      </c>
      <c r="Q10" s="84" t="s">
        <v>70</v>
      </c>
      <c r="R10" s="84" t="s">
        <v>71</v>
      </c>
      <c r="S10" s="84" t="s">
        <v>72</v>
      </c>
      <c r="T10" s="84" t="s">
        <v>128</v>
      </c>
      <c r="U10" s="84" t="s">
        <v>129</v>
      </c>
      <c r="V10" s="45" t="s">
        <v>130</v>
      </c>
      <c r="W10" s="44" t="s">
        <v>116</v>
      </c>
      <c r="X10" s="44" t="s">
        <v>117</v>
      </c>
      <c r="Y10" s="44" t="s">
        <v>118</v>
      </c>
      <c r="Z10" s="44" t="s">
        <v>119</v>
      </c>
      <c r="AA10" s="44" t="s">
        <v>120</v>
      </c>
      <c r="AB10" s="44" t="s">
        <v>121</v>
      </c>
      <c r="AC10" s="44" t="s">
        <v>15</v>
      </c>
      <c r="AD10" s="44" t="s">
        <v>17</v>
      </c>
      <c r="AE10" s="45" t="s">
        <v>16</v>
      </c>
    </row>
    <row r="11" spans="2:31" ht="15.75" thickBot="1" x14ac:dyDescent="0.3">
      <c r="B11" s="46"/>
      <c r="C11" s="58"/>
      <c r="D11" s="58"/>
      <c r="E11" s="85"/>
      <c r="F11" s="64"/>
      <c r="G11" s="48" t="str">
        <f>IFERROR(InsurerCommercial2022[[#This Row],[Breast Cancer Screening - Numerator]]/InsurerCommercial2022[[#This Row],[Breast Cancer Screening - Denominator]],"-")</f>
        <v>-</v>
      </c>
      <c r="H11" s="63"/>
      <c r="I11" s="64"/>
      <c r="J11" s="48" t="str">
        <f>IFERROR(InsurerCommercial2022[[#This Row],[Colorectal Cancer Screening - Numerator]]/InsurerCommercial2022[[#This Row],[Colorectal Cancer Screening - Denominator]],"-")</f>
        <v>-</v>
      </c>
      <c r="K11" s="63"/>
      <c r="L11" s="64"/>
      <c r="M11" s="48" t="str">
        <f>IFERROR(InsurerCommercial2022[[#This Row],[Controlling High Blood Pressure - Numerator]]/InsurerCommercial2022[[#This Row],[Controlling High Blood Pressure - Denominator]],"-")</f>
        <v>-</v>
      </c>
      <c r="N11" s="63"/>
      <c r="O11" s="64"/>
      <c r="P11" s="48" t="str">
        <f>IFERROR(InsurerCommercial2022[[#This Row],[Eye Exam for Patients with Diabetes - Numerator]]/InsurerCommercial2022[[#This Row],[Eye Exam for Patients with Diabetes - Denominator]],"-")</f>
        <v>-</v>
      </c>
      <c r="Q11" s="63"/>
      <c r="R11" s="64"/>
      <c r="S11" s="48" t="str">
        <f>IFERROR(InsurerCommercial2022[[#This Row],[Follow-Up After Hospitalization for Mental Illness (7-Day) - Numerator]]/InsurerCommercial2022[[#This Row],[Follow-Up After Hospitalization for Mental Illness (7-Day) - Denominator]],"-")</f>
        <v>-</v>
      </c>
      <c r="T11" s="63"/>
      <c r="U11" s="64"/>
      <c r="V11" s="49" t="str">
        <f>IFERROR(InsurerCommercial2022[[#This Row],[Hemoglobin A1c Control for Patients with Diabetes: HbA1c Control (&lt;8.0%) - Numerator]]/InsurerCommercial2022[[#This Row],[Hemoglobin A1c Control for Patients with Diabetes: HbA1c Control (&lt;8.0%) - Denominator]],"-")</f>
        <v>-</v>
      </c>
      <c r="W11" s="64"/>
      <c r="X11" s="64"/>
      <c r="Y11" s="48" t="str">
        <f>IFERROR(InsurerCommercial2022[[#This Row],[Child and Adolescent Well-Care Visits (ages 12-17) - Numerator]]/InsurerCommercial2022[[#This Row],[Child and Adolescent Well-Care Visits (ages 12-17) - Denominator]],"-")</f>
        <v>-</v>
      </c>
      <c r="Z11" s="63"/>
      <c r="AA11" s="64"/>
      <c r="AB11" s="48" t="str">
        <f>IFERROR(InsurerCommercial2022[[#This Row],[Child and Adolescent Well-Care Visits (ages 18-21) - Numerator]]/InsurerCommercial2022[[#This Row],[Child and Adolescent Well-Care Visits (ages 18-21) - Denominator]],"-")</f>
        <v>-</v>
      </c>
      <c r="AC11" s="63"/>
      <c r="AD11" s="64"/>
      <c r="AE11" s="49" t="str">
        <f>IFERROR(InsurerCommercial2022[[#This Row],[Developmental Screening in the First Three Years of Life - Numerator]]/InsurerCommercial2022[[#This Row],[Developmental Screening in the First Three Years of Life - Denominator]],"-")</f>
        <v>-</v>
      </c>
    </row>
    <row r="12" spans="2:31" x14ac:dyDescent="0.25">
      <c r="C12" s="59"/>
      <c r="D12" s="59"/>
      <c r="E12" s="65"/>
      <c r="F12" s="65"/>
      <c r="G12" s="37"/>
      <c r="H12" s="65"/>
      <c r="I12" s="65"/>
      <c r="J12" s="37"/>
      <c r="K12" s="65"/>
      <c r="L12" s="65"/>
      <c r="M12" s="37"/>
      <c r="N12" s="65"/>
      <c r="O12" s="65"/>
      <c r="P12" s="37"/>
      <c r="Q12" s="65"/>
      <c r="R12" s="65"/>
      <c r="S12" s="37"/>
      <c r="T12" s="65"/>
      <c r="U12" s="65"/>
      <c r="V12" s="37"/>
      <c r="W12" s="65"/>
      <c r="X12" s="65"/>
      <c r="Y12" s="37"/>
      <c r="Z12" s="65"/>
      <c r="AA12" s="65"/>
      <c r="AB12" s="37"/>
      <c r="AC12" s="65"/>
      <c r="AD12" s="65"/>
      <c r="AE12" s="37"/>
    </row>
    <row r="13" spans="2:31" ht="16.5" thickBot="1" x14ac:dyDescent="0.3">
      <c r="B13" s="11" t="s">
        <v>94</v>
      </c>
    </row>
    <row r="14" spans="2:31" x14ac:dyDescent="0.25">
      <c r="B14" s="40"/>
      <c r="C14" s="60"/>
      <c r="D14" s="60"/>
      <c r="E14" s="80" t="s">
        <v>46</v>
      </c>
      <c r="F14" s="68"/>
      <c r="G14" s="68"/>
      <c r="H14" s="68"/>
      <c r="I14" s="68"/>
      <c r="J14" s="68"/>
      <c r="K14" s="68"/>
      <c r="L14" s="68"/>
      <c r="M14" s="68"/>
      <c r="N14" s="68"/>
      <c r="O14" s="68"/>
      <c r="P14" s="68"/>
      <c r="Q14" s="68"/>
      <c r="R14" s="68"/>
      <c r="S14" s="68"/>
      <c r="T14" s="68"/>
      <c r="U14" s="68"/>
      <c r="V14" s="81"/>
      <c r="W14" s="87" t="s">
        <v>47</v>
      </c>
      <c r="X14" s="66"/>
      <c r="Y14" s="66"/>
      <c r="Z14" s="66"/>
      <c r="AA14" s="66"/>
      <c r="AB14" s="66"/>
      <c r="AC14" s="66"/>
      <c r="AD14" s="66"/>
      <c r="AE14" s="67"/>
    </row>
    <row r="15" spans="2:31" ht="45" x14ac:dyDescent="0.25">
      <c r="B15" s="42" t="s">
        <v>95</v>
      </c>
      <c r="C15" s="43" t="s">
        <v>103</v>
      </c>
      <c r="D15" s="42" t="s">
        <v>73</v>
      </c>
      <c r="E15" s="82" t="s">
        <v>9</v>
      </c>
      <c r="F15" s="83" t="s">
        <v>10</v>
      </c>
      <c r="G15" s="84" t="s">
        <v>11</v>
      </c>
      <c r="H15" s="84" t="s">
        <v>12</v>
      </c>
      <c r="I15" s="84" t="s">
        <v>13</v>
      </c>
      <c r="J15" s="84" t="s">
        <v>14</v>
      </c>
      <c r="K15" s="84" t="s">
        <v>122</v>
      </c>
      <c r="L15" s="84" t="s">
        <v>123</v>
      </c>
      <c r="M15" s="45" t="s">
        <v>124</v>
      </c>
      <c r="N15" s="84" t="s">
        <v>125</v>
      </c>
      <c r="O15" s="84" t="s">
        <v>126</v>
      </c>
      <c r="P15" s="84" t="s">
        <v>127</v>
      </c>
      <c r="Q15" s="84" t="s">
        <v>70</v>
      </c>
      <c r="R15" s="84" t="s">
        <v>71</v>
      </c>
      <c r="S15" s="84" t="s">
        <v>72</v>
      </c>
      <c r="T15" s="84" t="s">
        <v>128</v>
      </c>
      <c r="U15" s="84" t="s">
        <v>129</v>
      </c>
      <c r="V15" s="45" t="s">
        <v>130</v>
      </c>
      <c r="W15" s="88" t="s">
        <v>116</v>
      </c>
      <c r="X15" s="84" t="s">
        <v>117</v>
      </c>
      <c r="Y15" s="84" t="s">
        <v>118</v>
      </c>
      <c r="Z15" s="84" t="s">
        <v>119</v>
      </c>
      <c r="AA15" s="84" t="s">
        <v>120</v>
      </c>
      <c r="AB15" s="84" t="s">
        <v>121</v>
      </c>
      <c r="AC15" s="84" t="s">
        <v>15</v>
      </c>
      <c r="AD15" s="84" t="s">
        <v>17</v>
      </c>
      <c r="AE15" s="45" t="s">
        <v>16</v>
      </c>
    </row>
    <row r="16" spans="2:31" x14ac:dyDescent="0.25">
      <c r="B16" s="50"/>
      <c r="C16" s="61"/>
      <c r="D16" s="61"/>
      <c r="E16" s="50"/>
      <c r="F16" s="86"/>
      <c r="G16" s="8" t="str">
        <f>IFERROR(ACOCommercial2022[[#This Row],[Breast Cancer Screening - Numerator]]/ACOCommercial2022[[#This Row],[Breast Cancer Screening - Denominator]],"-")</f>
        <v>-</v>
      </c>
      <c r="H16" s="86"/>
      <c r="I16" s="86"/>
      <c r="J16" s="8" t="str">
        <f>IFERROR(ACOCommercial2022[[#This Row],[Colorectal Cancer Screening - Numerator]]/ACOCommercial2022[[#This Row],[Colorectal Cancer Screening - Denominator]],"-")</f>
        <v>-</v>
      </c>
      <c r="K16" s="86"/>
      <c r="L16" s="86"/>
      <c r="M16" s="8" t="str">
        <f>IFERROR(ACOCommercial2022[[#This Row],[Controlling High Blood Pressure - Numerator]]/ACOCommercial2022[[#This Row],[Controlling High Blood Pressure - Denominator]],"-")</f>
        <v>-</v>
      </c>
      <c r="N16" s="86"/>
      <c r="O16" s="86"/>
      <c r="P16" s="8" t="str">
        <f>IFERROR(ACOCommercial2022[[#This Row],[Eye Exam for Patients with Diabetes - Numerator]]/ACOCommercial2022[[#This Row],[Eye Exam for Patients with Diabetes - Denominator]],"-")</f>
        <v>-</v>
      </c>
      <c r="Q16" s="86"/>
      <c r="R16" s="86"/>
      <c r="S16" s="8" t="str">
        <f>IFERROR(ACOCommercial2022[[#This Row],[Follow-Up After Hospitalization for Mental Illness (7-Day) - Numerator]]/ACOCommercial2022[[#This Row],[Follow-Up After Hospitalization for Mental Illness (7-Day) - Denominator]],"-")</f>
        <v>-</v>
      </c>
      <c r="T16" s="86"/>
      <c r="U16" s="86"/>
      <c r="V16" s="51" t="str">
        <f>IFERROR(ACOCommercial2022[[#This Row],[Hemoglobin A1c Control for Patients with Diabetes: HbA1c Control (&lt;8.0%) - Numerator]]/ACOCommercial2022[[#This Row],[Hemoglobin A1c Control for Patients with Diabetes: HbA1c Control (&lt;8.0%) - Denominator]],"-")</f>
        <v>-</v>
      </c>
      <c r="W16" s="50"/>
      <c r="X16" s="86"/>
      <c r="Y16" s="8" t="str">
        <f>IFERROR(ACOCommercial2022[[#This Row],[Child and Adolescent Well-Care Visits (ages 12-17) - Numerator]]/ACOCommercial2022[[#This Row],[Child and Adolescent Well-Care Visits (ages 12-17) - Denominator]],"-")</f>
        <v>-</v>
      </c>
      <c r="Z16" s="86"/>
      <c r="AA16" s="86"/>
      <c r="AB16" s="8" t="str">
        <f>IFERROR(ACOCommercial2022[[#This Row],[Child and Adolescent Well-Care Visits (ages 18-21) - Numerator]]/ACOCommercial2022[[#This Row],[Child and Adolescent Well-Care Visits (ages 18-21) - Denominator]],"--")</f>
        <v>--</v>
      </c>
      <c r="AC16" s="86"/>
      <c r="AD16" s="86"/>
      <c r="AE16" s="51" t="str">
        <f>IFERROR(ACOCommercial2022[[#This Row],[Developmental Screening in the First Three Years of Life - Numerator]]/ACOCommercial2022[[#This Row],[Developmental Screening in the First Three Years of Life - Denominator]],"-")</f>
        <v>-</v>
      </c>
    </row>
    <row r="17" spans="2:31" x14ac:dyDescent="0.25">
      <c r="B17" s="50"/>
      <c r="C17" s="61"/>
      <c r="D17" s="61"/>
      <c r="E17" s="50"/>
      <c r="F17" s="86"/>
      <c r="G17" s="8" t="str">
        <f>IFERROR(ACOCommercial2022[[#This Row],[Breast Cancer Screening - Numerator]]/ACOCommercial2022[[#This Row],[Breast Cancer Screening - Denominator]],"-")</f>
        <v>-</v>
      </c>
      <c r="H17" s="86"/>
      <c r="I17" s="86"/>
      <c r="J17" s="8" t="str">
        <f>IFERROR(ACOCommercial2022[[#This Row],[Breast Cancer Screening - Numerator]]/ACOCommercial2022[[#This Row],[Breast Cancer Screening - Denominator]],"-")</f>
        <v>-</v>
      </c>
      <c r="K17" s="86"/>
      <c r="L17" s="86"/>
      <c r="M17" s="8" t="str">
        <f>IFERROR(ACOCommercial2022[[#This Row],[Breast Cancer Screening - Numerator]]/ACOCommercial2022[[#This Row],[Breast Cancer Screening - Denominator]],"-")</f>
        <v>-</v>
      </c>
      <c r="N17" s="86"/>
      <c r="O17" s="86"/>
      <c r="P17" s="8" t="str">
        <f>IFERROR(ACOCommercial2022[[#This Row],[Breast Cancer Screening - Numerator]]/ACOCommercial2022[[#This Row],[Breast Cancer Screening - Denominator]],"-")</f>
        <v>-</v>
      </c>
      <c r="Q17" s="86"/>
      <c r="R17" s="86"/>
      <c r="S17" s="8" t="str">
        <f>IFERROR(ACOCommercial2022[[#This Row],[Breast Cancer Screening - Numerator]]/ACOCommercial2022[[#This Row],[Breast Cancer Screening - Denominator]],"-")</f>
        <v>-</v>
      </c>
      <c r="T17" s="86"/>
      <c r="U17" s="86"/>
      <c r="V17" s="51" t="str">
        <f>IFERROR(ACOCommercial2022[[#This Row],[Hemoglobin A1c Control for Patients with Diabetes: HbA1c Control (&lt;8.0%) - Numerator]]/ACOCommercial2022[[#This Row],[Hemoglobin A1c Control for Patients with Diabetes: HbA1c Control (&lt;8.0%) - Denominator]],"-")</f>
        <v>-</v>
      </c>
      <c r="W17" s="50"/>
      <c r="X17" s="86"/>
      <c r="Y17" s="8" t="str">
        <f>IFERROR(ACOCommercial2022[[#This Row],[Child and Adolescent Well-Care Visits (ages 12-17) - Numerator]]/ACOCommercial2022[[#This Row],[Child and Adolescent Well-Care Visits (ages 12-17) - Denominator]],"-")</f>
        <v>-</v>
      </c>
      <c r="Z17" s="86"/>
      <c r="AA17" s="86"/>
      <c r="AB17" s="8" t="str">
        <f>IFERROR(ACOCommercial2022[[#This Row],[Child and Adolescent Well-Care Visits (ages 18-21) - Numerator]]/ACOCommercial2022[[#This Row],[Child and Adolescent Well-Care Visits (ages 18-21) - Denominator]],"--")</f>
        <v>--</v>
      </c>
      <c r="AC17" s="86"/>
      <c r="AD17" s="86"/>
      <c r="AE17" s="51" t="str">
        <f>IFERROR(ACOCommercial2022[[#This Row],[Developmental Screening in the First Three Years of Life - Numerator]]/ACOCommercial2022[[#This Row],[Developmental Screening in the First Three Years of Life - Denominator]],"-")</f>
        <v>-</v>
      </c>
    </row>
    <row r="18" spans="2:31" x14ac:dyDescent="0.25">
      <c r="B18" s="50"/>
      <c r="C18" s="61"/>
      <c r="D18" s="61"/>
      <c r="E18" s="50"/>
      <c r="F18" s="86"/>
      <c r="G18" s="8" t="str">
        <f>IFERROR(ACOCommercial2022[[#This Row],[Breast Cancer Screening - Numerator]]/ACOCommercial2022[[#This Row],[Breast Cancer Screening - Denominator]],"-")</f>
        <v>-</v>
      </c>
      <c r="H18" s="86"/>
      <c r="I18" s="86"/>
      <c r="J18" s="8" t="str">
        <f>IFERROR(ACOCommercial2022[[#This Row],[Breast Cancer Screening - Numerator]]/ACOCommercial2022[[#This Row],[Breast Cancer Screening - Denominator]],"-")</f>
        <v>-</v>
      </c>
      <c r="K18" s="86"/>
      <c r="L18" s="86"/>
      <c r="M18" s="8" t="str">
        <f>IFERROR(ACOCommercial2022[[#This Row],[Breast Cancer Screening - Numerator]]/ACOCommercial2022[[#This Row],[Breast Cancer Screening - Denominator]],"-")</f>
        <v>-</v>
      </c>
      <c r="N18" s="86"/>
      <c r="O18" s="86"/>
      <c r="P18" s="8" t="str">
        <f>IFERROR(ACOCommercial2022[[#This Row],[Breast Cancer Screening - Numerator]]/ACOCommercial2022[[#This Row],[Breast Cancer Screening - Denominator]],"-")</f>
        <v>-</v>
      </c>
      <c r="Q18" s="86"/>
      <c r="R18" s="86"/>
      <c r="S18" s="8" t="str">
        <f>IFERROR(ACOCommercial2022[[#This Row],[Breast Cancer Screening - Numerator]]/ACOCommercial2022[[#This Row],[Breast Cancer Screening - Denominator]],"-")</f>
        <v>-</v>
      </c>
      <c r="T18" s="86"/>
      <c r="U18" s="86"/>
      <c r="V18" s="51" t="str">
        <f>IFERROR(ACOCommercial2022[[#This Row],[Hemoglobin A1c Control for Patients with Diabetes: HbA1c Control (&lt;8.0%) - Numerator]]/ACOCommercial2022[[#This Row],[Hemoglobin A1c Control for Patients with Diabetes: HbA1c Control (&lt;8.0%) - Denominator]],"-")</f>
        <v>-</v>
      </c>
      <c r="W18" s="50"/>
      <c r="X18" s="86"/>
      <c r="Y18" s="8" t="str">
        <f>IFERROR(ACOCommercial2022[[#This Row],[Child and Adolescent Well-Care Visits (ages 12-17) - Numerator]]/ACOCommercial2022[[#This Row],[Child and Adolescent Well-Care Visits (ages 12-17) - Denominator]],"-")</f>
        <v>-</v>
      </c>
      <c r="Z18" s="86"/>
      <c r="AA18" s="86"/>
      <c r="AB18" s="8" t="str">
        <f>IFERROR(ACOCommercial2022[[#This Row],[Child and Adolescent Well-Care Visits (ages 18-21) - Numerator]]/ACOCommercial2022[[#This Row],[Child and Adolescent Well-Care Visits (ages 18-21) - Denominator]],"--")</f>
        <v>--</v>
      </c>
      <c r="AC18" s="86"/>
      <c r="AD18" s="86"/>
      <c r="AE18" s="51" t="str">
        <f>IFERROR(ACOCommercial2022[[#This Row],[Developmental Screening in the First Three Years of Life - Numerator]]/ACOCommercial2022[[#This Row],[Developmental Screening in the First Three Years of Life - Denominator]],"-")</f>
        <v>-</v>
      </c>
    </row>
    <row r="19" spans="2:31" x14ac:dyDescent="0.25">
      <c r="B19" s="50"/>
      <c r="C19" s="61"/>
      <c r="D19" s="61"/>
      <c r="E19" s="50"/>
      <c r="F19" s="86"/>
      <c r="G19" s="8" t="str">
        <f>IFERROR(ACOCommercial2022[[#This Row],[Breast Cancer Screening - Numerator]]/ACOCommercial2022[[#This Row],[Breast Cancer Screening - Denominator]],"-")</f>
        <v>-</v>
      </c>
      <c r="H19" s="86"/>
      <c r="I19" s="86"/>
      <c r="J19" s="8" t="str">
        <f>IFERROR(ACOCommercial2022[[#This Row],[Breast Cancer Screening - Numerator]]/ACOCommercial2022[[#This Row],[Breast Cancer Screening - Denominator]],"-")</f>
        <v>-</v>
      </c>
      <c r="K19" s="86"/>
      <c r="L19" s="86"/>
      <c r="M19" s="8" t="str">
        <f>IFERROR(ACOCommercial2022[[#This Row],[Breast Cancer Screening - Numerator]]/ACOCommercial2022[[#This Row],[Breast Cancer Screening - Denominator]],"-")</f>
        <v>-</v>
      </c>
      <c r="N19" s="86"/>
      <c r="O19" s="86"/>
      <c r="P19" s="8" t="str">
        <f>IFERROR(ACOCommercial2022[[#This Row],[Breast Cancer Screening - Numerator]]/ACOCommercial2022[[#This Row],[Breast Cancer Screening - Denominator]],"-")</f>
        <v>-</v>
      </c>
      <c r="Q19" s="86"/>
      <c r="R19" s="86"/>
      <c r="S19" s="8" t="str">
        <f>IFERROR(ACOCommercial2022[[#This Row],[Breast Cancer Screening - Numerator]]/ACOCommercial2022[[#This Row],[Breast Cancer Screening - Denominator]],"-")</f>
        <v>-</v>
      </c>
      <c r="T19" s="86"/>
      <c r="U19" s="86"/>
      <c r="V19" s="51" t="str">
        <f>IFERROR(ACOCommercial2022[[#This Row],[Hemoglobin A1c Control for Patients with Diabetes: HbA1c Control (&lt;8.0%) - Numerator]]/ACOCommercial2022[[#This Row],[Hemoglobin A1c Control for Patients with Diabetes: HbA1c Control (&lt;8.0%) - Denominator]],"-")</f>
        <v>-</v>
      </c>
      <c r="W19" s="50"/>
      <c r="X19" s="86"/>
      <c r="Y19" s="8" t="str">
        <f>IFERROR(ACOCommercial2022[[#This Row],[Child and Adolescent Well-Care Visits (ages 12-17) - Numerator]]/ACOCommercial2022[[#This Row],[Child and Adolescent Well-Care Visits (ages 12-17) - Denominator]],"-")</f>
        <v>-</v>
      </c>
      <c r="Z19" s="86"/>
      <c r="AA19" s="86"/>
      <c r="AB19" s="8" t="str">
        <f>IFERROR(ACOCommercial2022[[#This Row],[Child and Adolescent Well-Care Visits (ages 18-21) - Numerator]]/ACOCommercial2022[[#This Row],[Child and Adolescent Well-Care Visits (ages 18-21) - Denominator]],"--")</f>
        <v>--</v>
      </c>
      <c r="AC19" s="86"/>
      <c r="AD19" s="86"/>
      <c r="AE19" s="51" t="str">
        <f>IFERROR(ACOCommercial2022[[#This Row],[Developmental Screening in the First Three Years of Life - Numerator]]/ACOCommercial2022[[#This Row],[Developmental Screening in the First Three Years of Life - Denominator]],"-")</f>
        <v>-</v>
      </c>
    </row>
    <row r="20" spans="2:31" x14ac:dyDescent="0.25">
      <c r="B20" s="50"/>
      <c r="C20" s="61"/>
      <c r="D20" s="61"/>
      <c r="E20" s="50"/>
      <c r="F20" s="86"/>
      <c r="G20" s="8" t="str">
        <f>IFERROR(ACOCommercial2022[[#This Row],[Breast Cancer Screening - Numerator]]/ACOCommercial2022[[#This Row],[Breast Cancer Screening - Denominator]],"-")</f>
        <v>-</v>
      </c>
      <c r="H20" s="86"/>
      <c r="I20" s="86"/>
      <c r="J20" s="8" t="str">
        <f>IFERROR(ACOCommercial2022[[#This Row],[Breast Cancer Screening - Numerator]]/ACOCommercial2022[[#This Row],[Breast Cancer Screening - Denominator]],"-")</f>
        <v>-</v>
      </c>
      <c r="K20" s="86"/>
      <c r="L20" s="86"/>
      <c r="M20" s="8" t="str">
        <f>IFERROR(ACOCommercial2022[[#This Row],[Breast Cancer Screening - Numerator]]/ACOCommercial2022[[#This Row],[Breast Cancer Screening - Denominator]],"-")</f>
        <v>-</v>
      </c>
      <c r="N20" s="86"/>
      <c r="O20" s="86"/>
      <c r="P20" s="8" t="str">
        <f>IFERROR(ACOCommercial2022[[#This Row],[Breast Cancer Screening - Numerator]]/ACOCommercial2022[[#This Row],[Breast Cancer Screening - Denominator]],"-")</f>
        <v>-</v>
      </c>
      <c r="Q20" s="86"/>
      <c r="R20" s="86"/>
      <c r="S20" s="8" t="str">
        <f>IFERROR(ACOCommercial2022[[#This Row],[Breast Cancer Screening - Numerator]]/ACOCommercial2022[[#This Row],[Breast Cancer Screening - Denominator]],"-")</f>
        <v>-</v>
      </c>
      <c r="T20" s="86"/>
      <c r="U20" s="86"/>
      <c r="V20" s="51" t="str">
        <f>IFERROR(ACOCommercial2022[[#This Row],[Hemoglobin A1c Control for Patients with Diabetes: HbA1c Control (&lt;8.0%) - Numerator]]/ACOCommercial2022[[#This Row],[Hemoglobin A1c Control for Patients with Diabetes: HbA1c Control (&lt;8.0%) - Denominator]],"-")</f>
        <v>-</v>
      </c>
      <c r="W20" s="50"/>
      <c r="X20" s="86"/>
      <c r="Y20" s="8" t="str">
        <f>IFERROR(ACOCommercial2022[[#This Row],[Child and Adolescent Well-Care Visits (ages 12-17) - Numerator]]/ACOCommercial2022[[#This Row],[Child and Adolescent Well-Care Visits (ages 12-17) - Denominator]],"-")</f>
        <v>-</v>
      </c>
      <c r="Z20" s="86"/>
      <c r="AA20" s="86"/>
      <c r="AB20" s="8" t="str">
        <f>IFERROR(ACOCommercial2022[[#This Row],[Child and Adolescent Well-Care Visits (ages 18-21) - Numerator]]/ACOCommercial2022[[#This Row],[Child and Adolescent Well-Care Visits (ages 18-21) - Denominator]],"--")</f>
        <v>--</v>
      </c>
      <c r="AC20" s="86"/>
      <c r="AD20" s="86"/>
      <c r="AE20" s="51" t="str">
        <f>IFERROR(ACOCommercial2022[[#This Row],[Developmental Screening in the First Three Years of Life - Numerator]]/ACOCommercial2022[[#This Row],[Developmental Screening in the First Three Years of Life - Denominator]],"-")</f>
        <v>-</v>
      </c>
    </row>
    <row r="21" spans="2:31" x14ac:dyDescent="0.25">
      <c r="B21" s="50"/>
      <c r="C21" s="61"/>
      <c r="D21" s="61"/>
      <c r="E21" s="50"/>
      <c r="F21" s="86"/>
      <c r="G21" s="8" t="str">
        <f>IFERROR(ACOCommercial2022[[#This Row],[Breast Cancer Screening - Numerator]]/ACOCommercial2022[[#This Row],[Breast Cancer Screening - Denominator]],"-")</f>
        <v>-</v>
      </c>
      <c r="H21" s="86"/>
      <c r="I21" s="86"/>
      <c r="J21" s="8" t="str">
        <f>IFERROR(ACOCommercial2022[[#This Row],[Breast Cancer Screening - Numerator]]/ACOCommercial2022[[#This Row],[Breast Cancer Screening - Denominator]],"-")</f>
        <v>-</v>
      </c>
      <c r="K21" s="86"/>
      <c r="L21" s="86"/>
      <c r="M21" s="8" t="str">
        <f>IFERROR(ACOCommercial2022[[#This Row],[Breast Cancer Screening - Numerator]]/ACOCommercial2022[[#This Row],[Breast Cancer Screening - Denominator]],"-")</f>
        <v>-</v>
      </c>
      <c r="N21" s="86"/>
      <c r="O21" s="86"/>
      <c r="P21" s="8" t="str">
        <f>IFERROR(ACOCommercial2022[[#This Row],[Breast Cancer Screening - Numerator]]/ACOCommercial2022[[#This Row],[Breast Cancer Screening - Denominator]],"-")</f>
        <v>-</v>
      </c>
      <c r="Q21" s="86"/>
      <c r="R21" s="86"/>
      <c r="S21" s="8" t="str">
        <f>IFERROR(ACOCommercial2022[[#This Row],[Breast Cancer Screening - Numerator]]/ACOCommercial2022[[#This Row],[Breast Cancer Screening - Denominator]],"-")</f>
        <v>-</v>
      </c>
      <c r="T21" s="86"/>
      <c r="U21" s="86"/>
      <c r="V21" s="51" t="str">
        <f>IFERROR(ACOCommercial2022[[#This Row],[Hemoglobin A1c Control for Patients with Diabetes: HbA1c Control (&lt;8.0%) - Numerator]]/ACOCommercial2022[[#This Row],[Hemoglobin A1c Control for Patients with Diabetes: HbA1c Control (&lt;8.0%) - Denominator]],"-")</f>
        <v>-</v>
      </c>
      <c r="W21" s="50"/>
      <c r="X21" s="86"/>
      <c r="Y21" s="8" t="str">
        <f>IFERROR(ACOCommercial2022[[#This Row],[Child and Adolescent Well-Care Visits (ages 12-17) - Numerator]]/ACOCommercial2022[[#This Row],[Child and Adolescent Well-Care Visits (ages 12-17) - Denominator]],"-")</f>
        <v>-</v>
      </c>
      <c r="Z21" s="86"/>
      <c r="AA21" s="86"/>
      <c r="AB21" s="8" t="str">
        <f>IFERROR(ACOCommercial2022[[#This Row],[Child and Adolescent Well-Care Visits (ages 18-21) - Numerator]]/ACOCommercial2022[[#This Row],[Child and Adolescent Well-Care Visits (ages 18-21) - Denominator]],"--")</f>
        <v>--</v>
      </c>
      <c r="AC21" s="86"/>
      <c r="AD21" s="86"/>
      <c r="AE21" s="51" t="str">
        <f>IFERROR(ACOCommercial2022[[#This Row],[Developmental Screening in the First Three Years of Life - Numerator]]/ACOCommercial2022[[#This Row],[Developmental Screening in the First Three Years of Life - Denominator]],"-")</f>
        <v>-</v>
      </c>
    </row>
    <row r="22" spans="2:31" x14ac:dyDescent="0.25">
      <c r="B22" s="50"/>
      <c r="C22" s="61"/>
      <c r="D22" s="61"/>
      <c r="E22" s="50"/>
      <c r="F22" s="86"/>
      <c r="G22" s="8" t="str">
        <f>IFERROR(ACOCommercial2022[[#This Row],[Breast Cancer Screening - Numerator]]/ACOCommercial2022[[#This Row],[Breast Cancer Screening - Denominator]],"-")</f>
        <v>-</v>
      </c>
      <c r="H22" s="86"/>
      <c r="I22" s="86"/>
      <c r="J22" s="8" t="str">
        <f>IFERROR(ACOCommercial2022[[#This Row],[Breast Cancer Screening - Numerator]]/ACOCommercial2022[[#This Row],[Breast Cancer Screening - Denominator]],"-")</f>
        <v>-</v>
      </c>
      <c r="K22" s="86"/>
      <c r="L22" s="86"/>
      <c r="M22" s="8" t="str">
        <f>IFERROR(ACOCommercial2022[[#This Row],[Breast Cancer Screening - Numerator]]/ACOCommercial2022[[#This Row],[Breast Cancer Screening - Denominator]],"-")</f>
        <v>-</v>
      </c>
      <c r="N22" s="86"/>
      <c r="O22" s="86"/>
      <c r="P22" s="8" t="str">
        <f>IFERROR(ACOCommercial2022[[#This Row],[Breast Cancer Screening - Numerator]]/ACOCommercial2022[[#This Row],[Breast Cancer Screening - Denominator]],"-")</f>
        <v>-</v>
      </c>
      <c r="Q22" s="86"/>
      <c r="R22" s="86"/>
      <c r="S22" s="8" t="str">
        <f>IFERROR(ACOCommercial2022[[#This Row],[Breast Cancer Screening - Numerator]]/ACOCommercial2022[[#This Row],[Breast Cancer Screening - Denominator]],"-")</f>
        <v>-</v>
      </c>
      <c r="T22" s="86"/>
      <c r="U22" s="86"/>
      <c r="V22" s="51" t="str">
        <f>IFERROR(ACOCommercial2022[[#This Row],[Hemoglobin A1c Control for Patients with Diabetes: HbA1c Control (&lt;8.0%) - Numerator]]/ACOCommercial2022[[#This Row],[Hemoglobin A1c Control for Patients with Diabetes: HbA1c Control (&lt;8.0%) - Denominator]],"-")</f>
        <v>-</v>
      </c>
      <c r="W22" s="50"/>
      <c r="X22" s="86"/>
      <c r="Y22" s="8" t="str">
        <f>IFERROR(ACOCommercial2022[[#This Row],[Child and Adolescent Well-Care Visits (ages 12-17) - Numerator]]/ACOCommercial2022[[#This Row],[Child and Adolescent Well-Care Visits (ages 12-17) - Denominator]],"-")</f>
        <v>-</v>
      </c>
      <c r="Z22" s="86"/>
      <c r="AA22" s="86"/>
      <c r="AB22" s="8" t="str">
        <f>IFERROR(ACOCommercial2022[[#This Row],[Child and Adolescent Well-Care Visits (ages 18-21) - Numerator]]/ACOCommercial2022[[#This Row],[Child and Adolescent Well-Care Visits (ages 18-21) - Denominator]],"--")</f>
        <v>--</v>
      </c>
      <c r="AC22" s="86"/>
      <c r="AD22" s="86"/>
      <c r="AE22" s="51" t="str">
        <f>IFERROR(ACOCommercial2022[[#This Row],[Developmental Screening in the First Three Years of Life - Numerator]]/ACOCommercial2022[[#This Row],[Developmental Screening in the First Three Years of Life - Denominator]],"-")</f>
        <v>-</v>
      </c>
    </row>
    <row r="23" spans="2:31" x14ac:dyDescent="0.25">
      <c r="B23" s="50"/>
      <c r="C23" s="61"/>
      <c r="D23" s="61"/>
      <c r="E23" s="50"/>
      <c r="F23" s="86"/>
      <c r="G23" s="8" t="str">
        <f>IFERROR(ACOCommercial2022[[#This Row],[Breast Cancer Screening - Numerator]]/ACOCommercial2022[[#This Row],[Breast Cancer Screening - Denominator]],"-")</f>
        <v>-</v>
      </c>
      <c r="H23" s="86"/>
      <c r="I23" s="86"/>
      <c r="J23" s="8" t="str">
        <f>IFERROR(ACOCommercial2022[[#This Row],[Breast Cancer Screening - Numerator]]/ACOCommercial2022[[#This Row],[Breast Cancer Screening - Denominator]],"-")</f>
        <v>-</v>
      </c>
      <c r="K23" s="86"/>
      <c r="L23" s="86"/>
      <c r="M23" s="8" t="str">
        <f>IFERROR(ACOCommercial2022[[#This Row],[Breast Cancer Screening - Numerator]]/ACOCommercial2022[[#This Row],[Breast Cancer Screening - Denominator]],"-")</f>
        <v>-</v>
      </c>
      <c r="N23" s="86"/>
      <c r="O23" s="86"/>
      <c r="P23" s="8" t="str">
        <f>IFERROR(ACOCommercial2022[[#This Row],[Breast Cancer Screening - Numerator]]/ACOCommercial2022[[#This Row],[Breast Cancer Screening - Denominator]],"-")</f>
        <v>-</v>
      </c>
      <c r="Q23" s="86"/>
      <c r="R23" s="86"/>
      <c r="S23" s="8" t="str">
        <f>IFERROR(ACOCommercial2022[[#This Row],[Breast Cancer Screening - Numerator]]/ACOCommercial2022[[#This Row],[Breast Cancer Screening - Denominator]],"-")</f>
        <v>-</v>
      </c>
      <c r="T23" s="86"/>
      <c r="U23" s="86"/>
      <c r="V23" s="51" t="str">
        <f>IFERROR(ACOCommercial2022[[#This Row],[Hemoglobin A1c Control for Patients with Diabetes: HbA1c Control (&lt;8.0%) - Numerator]]/ACOCommercial2022[[#This Row],[Hemoglobin A1c Control for Patients with Diabetes: HbA1c Control (&lt;8.0%) - Denominator]],"-")</f>
        <v>-</v>
      </c>
      <c r="W23" s="50"/>
      <c r="X23" s="86"/>
      <c r="Y23" s="8" t="str">
        <f>IFERROR(ACOCommercial2022[[#This Row],[Child and Adolescent Well-Care Visits (ages 12-17) - Numerator]]/ACOCommercial2022[[#This Row],[Child and Adolescent Well-Care Visits (ages 12-17) - Denominator]],"-")</f>
        <v>-</v>
      </c>
      <c r="Z23" s="86"/>
      <c r="AA23" s="86"/>
      <c r="AB23" s="8" t="str">
        <f>IFERROR(ACOCommercial2022[[#This Row],[Child and Adolescent Well-Care Visits (ages 18-21) - Numerator]]/ACOCommercial2022[[#This Row],[Child and Adolescent Well-Care Visits (ages 18-21) - Denominator]],"--")</f>
        <v>--</v>
      </c>
      <c r="AC23" s="86"/>
      <c r="AD23" s="86"/>
      <c r="AE23" s="51" t="str">
        <f>IFERROR(ACOCommercial2022[[#This Row],[Developmental Screening in the First Three Years of Life - Numerator]]/ACOCommercial2022[[#This Row],[Developmental Screening in the First Three Years of Life - Denominator]],"-")</f>
        <v>-</v>
      </c>
    </row>
    <row r="24" spans="2:31" x14ac:dyDescent="0.25">
      <c r="B24" s="50"/>
      <c r="C24" s="61"/>
      <c r="D24" s="61"/>
      <c r="E24" s="50"/>
      <c r="F24" s="86"/>
      <c r="G24" s="8" t="str">
        <f>IFERROR(ACOCommercial2022[[#This Row],[Breast Cancer Screening - Numerator]]/ACOCommercial2022[[#This Row],[Breast Cancer Screening - Denominator]],"-")</f>
        <v>-</v>
      </c>
      <c r="H24" s="86"/>
      <c r="I24" s="86"/>
      <c r="J24" s="8" t="str">
        <f>IFERROR(ACOCommercial2022[[#This Row],[Breast Cancer Screening - Numerator]]/ACOCommercial2022[[#This Row],[Breast Cancer Screening - Denominator]],"-")</f>
        <v>-</v>
      </c>
      <c r="K24" s="86"/>
      <c r="L24" s="86"/>
      <c r="M24" s="8" t="str">
        <f>IFERROR(ACOCommercial2022[[#This Row],[Breast Cancer Screening - Numerator]]/ACOCommercial2022[[#This Row],[Breast Cancer Screening - Denominator]],"-")</f>
        <v>-</v>
      </c>
      <c r="N24" s="86"/>
      <c r="O24" s="86"/>
      <c r="P24" s="8" t="str">
        <f>IFERROR(ACOCommercial2022[[#This Row],[Breast Cancer Screening - Numerator]]/ACOCommercial2022[[#This Row],[Breast Cancer Screening - Denominator]],"-")</f>
        <v>-</v>
      </c>
      <c r="Q24" s="86"/>
      <c r="R24" s="86"/>
      <c r="S24" s="8" t="str">
        <f>IFERROR(ACOCommercial2022[[#This Row],[Breast Cancer Screening - Numerator]]/ACOCommercial2022[[#This Row],[Breast Cancer Screening - Denominator]],"-")</f>
        <v>-</v>
      </c>
      <c r="T24" s="86"/>
      <c r="U24" s="86"/>
      <c r="V24" s="51" t="str">
        <f>IFERROR(ACOCommercial2022[[#This Row],[Hemoglobin A1c Control for Patients with Diabetes: HbA1c Control (&lt;8.0%) - Numerator]]/ACOCommercial2022[[#This Row],[Hemoglobin A1c Control for Patients with Diabetes: HbA1c Control (&lt;8.0%) - Denominator]],"-")</f>
        <v>-</v>
      </c>
      <c r="W24" s="50"/>
      <c r="X24" s="86"/>
      <c r="Y24" s="8" t="str">
        <f>IFERROR(ACOCommercial2022[[#This Row],[Child and Adolescent Well-Care Visits (ages 12-17) - Numerator]]/ACOCommercial2022[[#This Row],[Child and Adolescent Well-Care Visits (ages 12-17) - Denominator]],"-")</f>
        <v>-</v>
      </c>
      <c r="Z24" s="86"/>
      <c r="AA24" s="86"/>
      <c r="AB24" s="8" t="str">
        <f>IFERROR(ACOCommercial2022[[#This Row],[Child and Adolescent Well-Care Visits (ages 18-21) - Numerator]]/ACOCommercial2022[[#This Row],[Child and Adolescent Well-Care Visits (ages 18-21) - Denominator]],"--")</f>
        <v>--</v>
      </c>
      <c r="AC24" s="86"/>
      <c r="AD24" s="86"/>
      <c r="AE24" s="51" t="str">
        <f>IFERROR(ACOCommercial2022[[#This Row],[Developmental Screening in the First Three Years of Life - Numerator]]/ACOCommercial2022[[#This Row],[Developmental Screening in the First Three Years of Life - Denominator]],"-")</f>
        <v>-</v>
      </c>
    </row>
    <row r="25" spans="2:31" x14ac:dyDescent="0.25">
      <c r="B25" s="50"/>
      <c r="C25" s="61"/>
      <c r="D25" s="61"/>
      <c r="E25" s="50"/>
      <c r="F25" s="86"/>
      <c r="G25" s="8" t="str">
        <f>IFERROR(ACOCommercial2022[[#This Row],[Breast Cancer Screening - Numerator]]/ACOCommercial2022[[#This Row],[Breast Cancer Screening - Denominator]],"-")</f>
        <v>-</v>
      </c>
      <c r="H25" s="86"/>
      <c r="I25" s="86"/>
      <c r="J25" s="8" t="str">
        <f>IFERROR(ACOCommercial2022[[#This Row],[Breast Cancer Screening - Numerator]]/ACOCommercial2022[[#This Row],[Breast Cancer Screening - Denominator]],"-")</f>
        <v>-</v>
      </c>
      <c r="K25" s="86"/>
      <c r="L25" s="86"/>
      <c r="M25" s="8" t="str">
        <f>IFERROR(ACOCommercial2022[[#This Row],[Breast Cancer Screening - Numerator]]/ACOCommercial2022[[#This Row],[Breast Cancer Screening - Denominator]],"-")</f>
        <v>-</v>
      </c>
      <c r="N25" s="86"/>
      <c r="O25" s="86"/>
      <c r="P25" s="8" t="str">
        <f>IFERROR(ACOCommercial2022[[#This Row],[Breast Cancer Screening - Numerator]]/ACOCommercial2022[[#This Row],[Breast Cancer Screening - Denominator]],"-")</f>
        <v>-</v>
      </c>
      <c r="Q25" s="86"/>
      <c r="R25" s="86"/>
      <c r="S25" s="8" t="str">
        <f>IFERROR(ACOCommercial2022[[#This Row],[Breast Cancer Screening - Numerator]]/ACOCommercial2022[[#This Row],[Breast Cancer Screening - Denominator]],"-")</f>
        <v>-</v>
      </c>
      <c r="T25" s="86"/>
      <c r="U25" s="86"/>
      <c r="V25" s="51" t="str">
        <f>IFERROR(ACOCommercial2022[[#This Row],[Hemoglobin A1c Control for Patients with Diabetes: HbA1c Control (&lt;8.0%) - Numerator]]/ACOCommercial2022[[#This Row],[Hemoglobin A1c Control for Patients with Diabetes: HbA1c Control (&lt;8.0%) - Denominator]],"-")</f>
        <v>-</v>
      </c>
      <c r="W25" s="50"/>
      <c r="X25" s="86"/>
      <c r="Y25" s="8" t="str">
        <f>IFERROR(ACOCommercial2022[[#This Row],[Child and Adolescent Well-Care Visits (ages 12-17) - Numerator]]/ACOCommercial2022[[#This Row],[Child and Adolescent Well-Care Visits (ages 12-17) - Denominator]],"-")</f>
        <v>-</v>
      </c>
      <c r="Z25" s="86"/>
      <c r="AA25" s="86"/>
      <c r="AB25" s="8" t="str">
        <f>IFERROR(ACOCommercial2022[[#This Row],[Child and Adolescent Well-Care Visits (ages 18-21) - Numerator]]/ACOCommercial2022[[#This Row],[Child and Adolescent Well-Care Visits (ages 18-21) - Denominator]],"--")</f>
        <v>--</v>
      </c>
      <c r="AC25" s="86"/>
      <c r="AD25" s="86"/>
      <c r="AE25" s="51" t="str">
        <f>IFERROR(ACOCommercial2022[[#This Row],[Developmental Screening in the First Three Years of Life - Numerator]]/ACOCommercial2022[[#This Row],[Developmental Screening in the First Three Years of Life - Denominator]],"-")</f>
        <v>-</v>
      </c>
    </row>
    <row r="26" spans="2:31" ht="15.75" thickBot="1" x14ac:dyDescent="0.3">
      <c r="B26" s="46"/>
      <c r="C26" s="62"/>
      <c r="D26" s="62"/>
      <c r="E26" s="46"/>
      <c r="F26" s="47"/>
      <c r="G26" s="48" t="str">
        <f>IFERROR(ACOCommercial2022[[#This Row],[Breast Cancer Screening - Numerator]]/ACOCommercial2022[[#This Row],[Breast Cancer Screening - Denominator]],"-")</f>
        <v>-</v>
      </c>
      <c r="H26" s="47"/>
      <c r="I26" s="47"/>
      <c r="J26" s="48" t="str">
        <f>IFERROR(ACOCommercial2022[[#This Row],[Breast Cancer Screening - Numerator]]/ACOCommercial2022[[#This Row],[Breast Cancer Screening - Denominator]],"-")</f>
        <v>-</v>
      </c>
      <c r="K26" s="47"/>
      <c r="L26" s="47"/>
      <c r="M26" s="48" t="str">
        <f>IFERROR(ACOCommercial2022[[#This Row],[Breast Cancer Screening - Numerator]]/ACOCommercial2022[[#This Row],[Breast Cancer Screening - Denominator]],"-")</f>
        <v>-</v>
      </c>
      <c r="N26" s="47"/>
      <c r="O26" s="47"/>
      <c r="P26" s="48" t="str">
        <f>IFERROR(ACOCommercial2022[[#This Row],[Breast Cancer Screening - Numerator]]/ACOCommercial2022[[#This Row],[Breast Cancer Screening - Denominator]],"-")</f>
        <v>-</v>
      </c>
      <c r="Q26" s="47"/>
      <c r="R26" s="47"/>
      <c r="S26" s="48" t="str">
        <f>IFERROR(ACOCommercial2022[[#This Row],[Breast Cancer Screening - Numerator]]/ACOCommercial2022[[#This Row],[Breast Cancer Screening - Denominator]],"-")</f>
        <v>-</v>
      </c>
      <c r="T26" s="47"/>
      <c r="U26" s="47"/>
      <c r="V26" s="49" t="str">
        <f>IFERROR(ACOCommercial2022[[#This Row],[Hemoglobin A1c Control for Patients with Diabetes: HbA1c Control (&lt;8.0%) - Numerator]]/ACOCommercial2022[[#This Row],[Hemoglobin A1c Control for Patients with Diabetes: HbA1c Control (&lt;8.0%) - Denominator]],"-")</f>
        <v>-</v>
      </c>
      <c r="W26" s="46"/>
      <c r="X26" s="47"/>
      <c r="Y26" s="48" t="str">
        <f>IFERROR(ACOCommercial2022[[#This Row],[Child and Adolescent Well-Care Visits (ages 12-17) - Numerator]]/ACOCommercial2022[[#This Row],[Child and Adolescent Well-Care Visits (ages 12-17) - Denominator]],"-")</f>
        <v>-</v>
      </c>
      <c r="Z26" s="47"/>
      <c r="AA26" s="47"/>
      <c r="AB26" s="48" t="str">
        <f>IFERROR(ACOCommercial2022[[#This Row],[Child and Adolescent Well-Care Visits (ages 18-21) - Numerator]]/ACOCommercial2022[[#This Row],[Child and Adolescent Well-Care Visits (ages 18-21) - Denominator]],"--")</f>
        <v>--</v>
      </c>
      <c r="AC26" s="47"/>
      <c r="AD26" s="47"/>
      <c r="AE26" s="49" t="str">
        <f>IFERROR(ACOCommercial2022[[#This Row],[Developmental Screening in the First Three Years of Life - Numerator]]/ACOCommercial2022[[#This Row],[Developmental Screening in the First Three Years of Life - Denominator]],"-")</f>
        <v>-</v>
      </c>
    </row>
  </sheetData>
  <mergeCells count="4">
    <mergeCell ref="E9:V9"/>
    <mergeCell ref="W9:AE9"/>
    <mergeCell ref="E14:V14"/>
    <mergeCell ref="W14:AE14"/>
  </mergeCells>
  <dataValidations count="5">
    <dataValidation type="decimal" operator="greaterThanOrEqual" allowBlank="1" showInputMessage="1" showErrorMessage="1" error="No negative values." prompt="No negative values._x000a_See &quot;References Tables&quot; tab for numerator and denominator descriptions." sqref="E16:F26 H16:I26 K16:L26 N16:O26 Q16:R26 T16:U26 W16:X26 AC16:AD26 E11:F12 H11:I12 K11:L12 N11:O12 Q11:R12 W11:X12 Z11:AA12" xr:uid="{EFA388AA-231C-4618-AC1E-E6E69BB56523}">
      <formula1>0</formula1>
    </dataValidation>
    <dataValidation allowBlank="1" showInputMessage="1" showErrorMessage="1" prompt="Please input ACO Org ID.  See &quot;Reference Tables&quot; tab for list of ACO Org IDs." sqref="B16:B26" xr:uid="{F4EAB6C9-8BBD-4107-A7DF-FBB35E3FCA88}"/>
    <dataValidation allowBlank="1" showInputMessage="1" showErrorMessage="1" prompt="Please input Insurer Org ID.  See &quot;References Tables&quot; tab for list of Insurer Org IDs." sqref="B12" xr:uid="{AD5B5E01-A125-44E8-8B5C-F8C41D5F9EB6}"/>
    <dataValidation allowBlank="1" showInputMessage="1" showErrorMessage="1" prompt="This is a calculated field, no data input required." sqref="G11:G12 G16:G26 J11:J12 J16:J26 M11:M12 M16:M26 P11:P12 P16:P26 S11:S12 S16:S26 V11:V12 V16:V26 Y11:Y12 Y16:Y26 AB11:AB12 AB16:AB26 AE11:AE12 AE16:AE26" xr:uid="{FE287A2B-E15B-477F-BCE1-A6719CCE465F}"/>
    <dataValidation allowBlank="1" showInputMessage="1" showErrorMessage="1" prompt="Please input Insurer Org ID.  See &quot;Reference Tables&quot; tab for list of Insurer Org IDs." sqref="B11" xr:uid="{19D1D7C6-7932-4EA5-AF5C-516E351EDADE}"/>
  </dataValidations>
  <pageMargins left="0.7" right="0.7" top="0.75" bottom="0.75" header="0.3" footer="0.3"/>
  <pageSetup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DC09-D865-4C04-B916-FD41C5B04C54}">
  <dimension ref="A1:D15"/>
  <sheetViews>
    <sheetView zoomScaleNormal="100" workbookViewId="0"/>
  </sheetViews>
  <sheetFormatPr defaultRowHeight="15" x14ac:dyDescent="0.25"/>
  <cols>
    <col min="1" max="1" width="14.140625" customWidth="1"/>
    <col min="2" max="2" width="80.42578125" customWidth="1"/>
    <col min="3" max="3" width="29.7109375" customWidth="1"/>
    <col min="4" max="4" width="63.85546875" customWidth="1"/>
  </cols>
  <sheetData>
    <row r="1" spans="1:4" ht="15.75" x14ac:dyDescent="0.25">
      <c r="A1" s="11" t="s">
        <v>39</v>
      </c>
    </row>
    <row r="3" spans="1:4" x14ac:dyDescent="0.25">
      <c r="A3" t="s">
        <v>18</v>
      </c>
      <c r="B3" s="3"/>
      <c r="C3" s="4" t="s">
        <v>20</v>
      </c>
    </row>
    <row r="4" spans="1:4" x14ac:dyDescent="0.25">
      <c r="A4" t="s">
        <v>19</v>
      </c>
      <c r="B4" s="3"/>
      <c r="C4" s="4" t="s">
        <v>20</v>
      </c>
    </row>
    <row r="5" spans="1:4" x14ac:dyDescent="0.25">
      <c r="A5" t="s">
        <v>64</v>
      </c>
      <c r="B5" s="3"/>
      <c r="C5" s="4" t="s">
        <v>65</v>
      </c>
    </row>
    <row r="7" spans="1:4" x14ac:dyDescent="0.25">
      <c r="B7" t="s">
        <v>21</v>
      </c>
    </row>
    <row r="8" spans="1:4" x14ac:dyDescent="0.25">
      <c r="B8" s="26" t="s">
        <v>22</v>
      </c>
      <c r="C8" s="27" t="s">
        <v>23</v>
      </c>
      <c r="D8" s="28" t="s">
        <v>24</v>
      </c>
    </row>
    <row r="9" spans="1:4" ht="30" x14ac:dyDescent="0.25">
      <c r="B9" s="35" t="s">
        <v>45</v>
      </c>
      <c r="C9" s="16"/>
      <c r="D9" s="29"/>
    </row>
    <row r="10" spans="1:4" ht="45" x14ac:dyDescent="0.25">
      <c r="B10" s="35" t="s">
        <v>89</v>
      </c>
      <c r="C10" s="16"/>
      <c r="D10" s="29"/>
    </row>
    <row r="11" spans="1:4" ht="30" x14ac:dyDescent="0.25">
      <c r="B11" s="35" t="s">
        <v>96</v>
      </c>
      <c r="C11" s="16"/>
      <c r="D11" s="29"/>
    </row>
    <row r="12" spans="1:4" ht="45" x14ac:dyDescent="0.25">
      <c r="B12" s="35" t="s">
        <v>102</v>
      </c>
      <c r="C12" s="16"/>
      <c r="D12" s="29"/>
    </row>
    <row r="13" spans="1:4" ht="30" x14ac:dyDescent="0.25">
      <c r="B13" s="36" t="s">
        <v>133</v>
      </c>
      <c r="C13" s="16"/>
      <c r="D13" s="30"/>
    </row>
    <row r="14" spans="1:4" ht="45" x14ac:dyDescent="0.25">
      <c r="B14" s="35" t="s">
        <v>104</v>
      </c>
      <c r="C14" s="16"/>
      <c r="D14" s="29"/>
    </row>
    <row r="15" spans="1:4" ht="30" x14ac:dyDescent="0.25">
      <c r="B15" s="36" t="s">
        <v>85</v>
      </c>
      <c r="C15" s="16"/>
      <c r="D15" s="30"/>
    </row>
  </sheetData>
  <dataValidations count="1">
    <dataValidation type="list" allowBlank="1" showInputMessage="1" showErrorMessage="1" sqref="C9:C15" xr:uid="{4A892A10-0009-473A-B890-13FA85FDA588}">
      <formula1>"Yes, No"</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FDD5-51F2-4231-B933-FE003064096B}">
  <dimension ref="B1:D30"/>
  <sheetViews>
    <sheetView zoomScaleNormal="100" workbookViewId="0">
      <selection activeCell="B1" sqref="B1"/>
    </sheetView>
  </sheetViews>
  <sheetFormatPr defaultRowHeight="15" x14ac:dyDescent="0.25"/>
  <cols>
    <col min="1" max="1" width="2.7109375" customWidth="1"/>
    <col min="2" max="8" width="35.140625" customWidth="1"/>
  </cols>
  <sheetData>
    <row r="1" spans="2:3" ht="18.75" x14ac:dyDescent="0.3">
      <c r="B1" s="10" t="s">
        <v>63</v>
      </c>
    </row>
    <row r="2" spans="2:3" x14ac:dyDescent="0.25">
      <c r="B2" t="s">
        <v>77</v>
      </c>
    </row>
    <row r="4" spans="2:3" x14ac:dyDescent="0.25">
      <c r="B4" s="34" t="s">
        <v>69</v>
      </c>
      <c r="C4" s="3">
        <f>Insurer_Org_ID</f>
        <v>0</v>
      </c>
    </row>
    <row r="6" spans="2:3" x14ac:dyDescent="0.25">
      <c r="B6" s="15" t="s">
        <v>68</v>
      </c>
    </row>
    <row r="7" spans="2:3" x14ac:dyDescent="0.25">
      <c r="B7" s="13" t="s">
        <v>86</v>
      </c>
    </row>
    <row r="8" spans="2:3" x14ac:dyDescent="0.25">
      <c r="B8" s="6" t="s">
        <v>66</v>
      </c>
      <c r="C8" s="6" t="s">
        <v>67</v>
      </c>
    </row>
    <row r="9" spans="2:3" x14ac:dyDescent="0.25">
      <c r="B9" s="21" t="s">
        <v>6</v>
      </c>
      <c r="C9" s="7" t="str">
        <f>IFERROR(VLOOKUP(C4,InsurerCommercial2022[],6,FALSE),"NA")</f>
        <v>NA</v>
      </c>
    </row>
    <row r="10" spans="2:3" x14ac:dyDescent="0.25">
      <c r="B10" s="21" t="s">
        <v>7</v>
      </c>
      <c r="C10" s="7" t="str">
        <f>IFERROR(VLOOKUP(C4,InsurerCommercial2022[],9,FALSE),"NA")</f>
        <v>NA</v>
      </c>
    </row>
    <row r="11" spans="2:3" x14ac:dyDescent="0.25">
      <c r="B11" s="21" t="s">
        <v>112</v>
      </c>
      <c r="C11" s="7" t="str">
        <f>IFERROR(VLOOKUP(C4,InsurerCommercial2022[],12),"NA")</f>
        <v>NA</v>
      </c>
    </row>
    <row r="12" spans="2:3" x14ac:dyDescent="0.25">
      <c r="B12" s="21" t="s">
        <v>107</v>
      </c>
      <c r="C12" s="7" t="str">
        <f>IFERROR(VLOOKUP(C4,InsurerCommercial2022[],15),"NA")</f>
        <v>NA</v>
      </c>
    </row>
    <row r="13" spans="2:3" ht="30" x14ac:dyDescent="0.25">
      <c r="B13" s="21" t="s">
        <v>5</v>
      </c>
      <c r="C13" s="7" t="str">
        <f>IFERROR(VLOOKUP(C4,InsurerCommercial2022[],18),"NA")</f>
        <v>NA</v>
      </c>
    </row>
    <row r="14" spans="2:3" ht="30" x14ac:dyDescent="0.25">
      <c r="B14" s="21" t="s">
        <v>108</v>
      </c>
      <c r="C14" s="7" t="str">
        <f>IFERROR(VLOOKUP(C4,InsurerCommercial2022[],21),"NA")</f>
        <v>NA</v>
      </c>
    </row>
    <row r="15" spans="2:3" ht="30" x14ac:dyDescent="0.25">
      <c r="B15" s="56" t="s">
        <v>131</v>
      </c>
      <c r="C15" s="7" t="str">
        <f>IFERROR(VLOOKUP(C4,InsurerCommercial2022[],24),"NA")</f>
        <v>NA</v>
      </c>
    </row>
    <row r="16" spans="2:3" ht="30" x14ac:dyDescent="0.25">
      <c r="B16" s="56" t="s">
        <v>132</v>
      </c>
      <c r="C16" s="7" t="str">
        <f>IFERROR(VLOOKUP(C4,InsurerCommercial2022[],27),"NA")</f>
        <v>NA</v>
      </c>
    </row>
    <row r="17" spans="2:4" ht="30" x14ac:dyDescent="0.25">
      <c r="B17" s="56" t="s">
        <v>8</v>
      </c>
      <c r="C17" s="7" t="str">
        <f>IFERROR(VLOOKUP(C4,InsurerCommercial2022[],30),"NA")</f>
        <v>NA</v>
      </c>
    </row>
    <row r="19" spans="2:4" x14ac:dyDescent="0.25">
      <c r="B19" s="15" t="s">
        <v>76</v>
      </c>
    </row>
    <row r="20" spans="2:4" x14ac:dyDescent="0.25">
      <c r="B20" s="13" t="s">
        <v>87</v>
      </c>
    </row>
    <row r="21" spans="2:4" x14ac:dyDescent="0.25">
      <c r="B21" s="6" t="s">
        <v>66</v>
      </c>
      <c r="C21" s="6" t="s">
        <v>3</v>
      </c>
      <c r="D21" s="6" t="s">
        <v>4</v>
      </c>
    </row>
    <row r="22" spans="2:4" x14ac:dyDescent="0.25">
      <c r="B22" s="21" t="s">
        <v>6</v>
      </c>
      <c r="C22" s="38" t="str">
        <f>IFERROR(VLOOKUP(C4,InsurerCommercial2022[],4),"NA")</f>
        <v>NA</v>
      </c>
      <c r="D22" s="3" t="str">
        <f>IFERROR(VLOOKUP(C4,InsurerCommercial2022[],5),"NA")</f>
        <v>NA</v>
      </c>
    </row>
    <row r="23" spans="2:4" x14ac:dyDescent="0.25">
      <c r="B23" s="21" t="s">
        <v>7</v>
      </c>
      <c r="C23" s="38" t="str">
        <f>IFERROR(VLOOKUP(C4,InsurerCommercial2022[],7),"NA")</f>
        <v>NA</v>
      </c>
      <c r="D23" s="3" t="str">
        <f>IFERROR(VLOOKUP(C4,InsurerCommercial2022[],8),"NA")</f>
        <v>NA</v>
      </c>
    </row>
    <row r="24" spans="2:4" x14ac:dyDescent="0.25">
      <c r="B24" s="21" t="s">
        <v>112</v>
      </c>
      <c r="C24" s="38" t="str">
        <f>IFERROR(VLOOKUP(C4,InsurerCommercial2022[],10),"NA")</f>
        <v>NA</v>
      </c>
      <c r="D24" s="3" t="str">
        <f>IFERROR(VLOOKUP(C4,InsurerCommercial2022[],11),"NA")</f>
        <v>NA</v>
      </c>
    </row>
    <row r="25" spans="2:4" x14ac:dyDescent="0.25">
      <c r="B25" s="21" t="s">
        <v>107</v>
      </c>
      <c r="C25" s="38" t="str">
        <f>IFERROR(VLOOKUP(C4,InsurerCommercial2022[],13),"NA")</f>
        <v>NA</v>
      </c>
      <c r="D25" s="3" t="str">
        <f>IFERROR(VLOOKUP(C4,InsurerCommercial2022[],14),"NA")</f>
        <v>NA</v>
      </c>
    </row>
    <row r="26" spans="2:4" ht="30" x14ac:dyDescent="0.25">
      <c r="B26" s="21" t="s">
        <v>5</v>
      </c>
      <c r="C26" s="38" t="str">
        <f>IFERROR(VLOOKUP(C4,InsurerCommercial2022[],16),"NA")</f>
        <v>NA</v>
      </c>
      <c r="D26" s="3" t="str">
        <f>IFERROR(VLOOKUP(C4,InsurerCommercial2022[],17),"NA")</f>
        <v>NA</v>
      </c>
    </row>
    <row r="27" spans="2:4" ht="30" x14ac:dyDescent="0.25">
      <c r="B27" s="21" t="s">
        <v>108</v>
      </c>
      <c r="C27" s="38" t="str">
        <f>IFERROR(VLOOKUP(C4,InsurerCommercial2022[],19),"NA")</f>
        <v>NA</v>
      </c>
      <c r="D27" s="3" t="str">
        <f>IFERROR(VLOOKUP(C4,InsurerCommercial2022[],20),"NA")</f>
        <v>NA</v>
      </c>
    </row>
    <row r="28" spans="2:4" ht="30" x14ac:dyDescent="0.25">
      <c r="B28" s="56" t="s">
        <v>131</v>
      </c>
      <c r="C28" s="38" t="str">
        <f>IFERROR(VLOOKUP(C4,InsurerCommercial2022[],22),"NA")</f>
        <v>NA</v>
      </c>
      <c r="D28" s="3" t="str">
        <f>IFERROR(VLOOKUP(C4,InsurerCommercial2022[],23),"NA")</f>
        <v>NA</v>
      </c>
    </row>
    <row r="29" spans="2:4" ht="30" x14ac:dyDescent="0.25">
      <c r="B29" s="56" t="s">
        <v>132</v>
      </c>
      <c r="C29" s="38" t="str">
        <f>IFERROR(VLOOKUP(C4,InsurerCommercial2022[],25),"NA")</f>
        <v>NA</v>
      </c>
      <c r="D29" s="3" t="str">
        <f>IFERROR(VLOOKUP(C4,InsurerCommercial2022[],26),"NA")</f>
        <v>NA</v>
      </c>
    </row>
    <row r="30" spans="2:4" ht="30" x14ac:dyDescent="0.25">
      <c r="B30" s="56" t="s">
        <v>8</v>
      </c>
      <c r="C30" s="38" t="str">
        <f>IFERROR(VLOOKUP(C4,InsurerCommercial2022[],28),"NA")</f>
        <v>NA</v>
      </c>
      <c r="D30" s="3" t="str">
        <f>IFERROR(VLOOKUP(C4,InsurerCommercial2022[],29),"NA")</f>
        <v>NA</v>
      </c>
    </row>
  </sheetData>
  <sheetProtection algorithmName="SHA-512" hashValue="rtlm7S1RXAHmw0MIO1qWITdItNlM7CjmUTQ6vCC7jSb9gfttYMWeRN3G4Q86H+6PlT7d180bzZdnP+DJmj5UZQ==" saltValue="nevLjwRakQyDcAyh3t/btw==" spinCount="100000" sheet="1" objects="1" scenarios="1"/>
  <conditionalFormatting sqref="C9:C17">
    <cfRule type="cellIs" dxfId="5" priority="54" operator="lessThan">
      <formula>0.4</formula>
    </cfRule>
  </conditionalFormatting>
  <conditionalFormatting sqref="C22:C30">
    <cfRule type="cellIs" dxfId="4" priority="52" operator="lessThan">
      <formula>0.4</formula>
    </cfRule>
  </conditionalFormatting>
  <conditionalFormatting sqref="C22:D30">
    <cfRule type="cellIs" dxfId="3" priority="36" operator="lessThan">
      <formula>30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7254-BDA7-4DEC-9A22-A26835537122}">
  <dimension ref="B1:V29"/>
  <sheetViews>
    <sheetView zoomScaleNormal="100" workbookViewId="0">
      <selection activeCell="B2" sqref="B2"/>
    </sheetView>
  </sheetViews>
  <sheetFormatPr defaultRowHeight="15" x14ac:dyDescent="0.25"/>
  <cols>
    <col min="1" max="1" width="2.7109375" customWidth="1"/>
    <col min="2" max="2" width="22" customWidth="1"/>
    <col min="3" max="3" width="13.42578125" bestFit="1" customWidth="1"/>
    <col min="4" max="4" width="44.85546875" customWidth="1"/>
    <col min="5" max="22" width="22" customWidth="1"/>
  </cols>
  <sheetData>
    <row r="1" spans="2:13" ht="18.75" x14ac:dyDescent="0.3">
      <c r="B1" s="10" t="s">
        <v>91</v>
      </c>
    </row>
    <row r="2" spans="2:13" x14ac:dyDescent="0.25">
      <c r="B2" t="s">
        <v>98</v>
      </c>
    </row>
    <row r="4" spans="2:13" x14ac:dyDescent="0.25">
      <c r="B4" s="15" t="s">
        <v>48</v>
      </c>
      <c r="C4" s="15"/>
    </row>
    <row r="5" spans="2:13" x14ac:dyDescent="0.25">
      <c r="B5" s="13" t="s">
        <v>86</v>
      </c>
      <c r="C5" s="1"/>
    </row>
    <row r="6" spans="2:13" x14ac:dyDescent="0.25">
      <c r="B6" s="69" t="s">
        <v>95</v>
      </c>
      <c r="C6" s="71" t="s">
        <v>26</v>
      </c>
      <c r="D6" s="71" t="s">
        <v>97</v>
      </c>
      <c r="E6" s="75">
        <v>2022</v>
      </c>
      <c r="F6" s="76"/>
      <c r="G6" s="76"/>
      <c r="H6" s="76"/>
      <c r="I6" s="76"/>
      <c r="J6" s="76"/>
      <c r="K6" s="76"/>
      <c r="L6" s="76"/>
      <c r="M6" s="77"/>
    </row>
    <row r="7" spans="2:13" ht="60" x14ac:dyDescent="0.25">
      <c r="B7" s="70"/>
      <c r="C7" s="72"/>
      <c r="D7" s="72"/>
      <c r="E7" s="6" t="s">
        <v>6</v>
      </c>
      <c r="F7" s="6" t="s">
        <v>7</v>
      </c>
      <c r="G7" s="6" t="s">
        <v>112</v>
      </c>
      <c r="H7" s="6" t="s">
        <v>107</v>
      </c>
      <c r="I7" s="6" t="s">
        <v>5</v>
      </c>
      <c r="J7" s="6" t="s">
        <v>108</v>
      </c>
      <c r="K7" s="6" t="s">
        <v>131</v>
      </c>
      <c r="L7" s="6" t="s">
        <v>132</v>
      </c>
      <c r="M7" s="57" t="s">
        <v>8</v>
      </c>
    </row>
    <row r="8" spans="2:13" x14ac:dyDescent="0.25">
      <c r="B8" s="39">
        <v>101</v>
      </c>
      <c r="C8" s="3" t="s">
        <v>34</v>
      </c>
      <c r="D8" s="3" t="s">
        <v>27</v>
      </c>
      <c r="E8" s="7" t="str">
        <f>IFERROR(VLOOKUP(B8,ACOCommercial2022[],6,FALSE),"NA")</f>
        <v>NA</v>
      </c>
      <c r="F8" s="7" t="str">
        <f>IFERROR(VLOOKUP(B8,ACOCommercial2022[],9,FALSE),"NA")</f>
        <v>NA</v>
      </c>
      <c r="G8" s="7" t="str">
        <f>IFERROR(VLOOKUP(B8,ACOCommercial2022[],12,FALSE),"NA")</f>
        <v>NA</v>
      </c>
      <c r="H8" s="7" t="str">
        <f>IFERROR(VLOOKUP(B8,ACOCommercial2022[],15,FALSE),"NA")</f>
        <v>NA</v>
      </c>
      <c r="I8" s="7" t="str">
        <f>IFERROR(VLOOKUP(B8,ACOCommercial2022[],18,FALSE),"NA")</f>
        <v>NA</v>
      </c>
      <c r="J8" s="7" t="str">
        <f>IFERROR(VLOOKUP(B8,ACOCommercial2022[],21,FALSE),"NA")</f>
        <v>NA</v>
      </c>
      <c r="K8" s="7" t="str">
        <f>IFERROR(VLOOKUP(B8,ACOCommercial2022[],24,FALSE),"NA")</f>
        <v>NA</v>
      </c>
      <c r="L8" s="7" t="str">
        <f>IFERROR(VLOOKUP(B8,ACOCommercial2022[],27,FALSE),"NA")</f>
        <v>NA</v>
      </c>
      <c r="M8" s="7" t="str">
        <f>IFERROR(VLOOKUP(B8,ACOCommercial2022[],30,FALSE),"NA")</f>
        <v>NA</v>
      </c>
    </row>
    <row r="9" spans="2:13" x14ac:dyDescent="0.25">
      <c r="B9" s="39">
        <v>102</v>
      </c>
      <c r="C9" s="3" t="s">
        <v>34</v>
      </c>
      <c r="D9" s="3" t="s">
        <v>28</v>
      </c>
      <c r="E9" s="7" t="str">
        <f>IFERROR(VLOOKUP(B9,ACOCommercial2022[],6,FALSE),"NA")</f>
        <v>NA</v>
      </c>
      <c r="F9" s="7" t="str">
        <f>IFERROR(VLOOKUP(B9,ACOCommercial2022[],9,FALSE),"NA")</f>
        <v>NA</v>
      </c>
      <c r="G9" s="7" t="str">
        <f>IFERROR(VLOOKUP(B9,ACOCommercial2022[],12,FALSE),"NA")</f>
        <v>NA</v>
      </c>
      <c r="H9" s="7" t="str">
        <f>IFERROR(VLOOKUP(B9,ACOCommercial2022[],15,FALSE),"NA")</f>
        <v>NA</v>
      </c>
      <c r="I9" s="7" t="str">
        <f>IFERROR(VLOOKUP(B9,ACOCommercial2022[],18,FALSE),"NA")</f>
        <v>NA</v>
      </c>
      <c r="J9" s="7" t="str">
        <f>IFERROR(VLOOKUP(B9,ACOCommercial2022[],21,FALSE),"NA")</f>
        <v>NA</v>
      </c>
      <c r="K9" s="7" t="str">
        <f>IFERROR(VLOOKUP(B9,ACOCommercial2022[],24,FALSE),"NA")</f>
        <v>NA</v>
      </c>
      <c r="L9" s="7" t="str">
        <f>IFERROR(VLOOKUP(B9,ACOCommercial2022[],27,FALSE),"NA")</f>
        <v>NA</v>
      </c>
      <c r="M9" s="7" t="str">
        <f>IFERROR(VLOOKUP(B9,ACOCommercial2022[],30,FALSE),"NA")</f>
        <v>NA</v>
      </c>
    </row>
    <row r="10" spans="2:13" x14ac:dyDescent="0.25">
      <c r="B10" s="39">
        <v>103</v>
      </c>
      <c r="C10" s="3" t="s">
        <v>34</v>
      </c>
      <c r="D10" s="3" t="s">
        <v>29</v>
      </c>
      <c r="E10" s="7" t="str">
        <f>IFERROR(VLOOKUP(B10,ACOCommercial2022[],6,FALSE),"NA")</f>
        <v>NA</v>
      </c>
      <c r="F10" s="7" t="str">
        <f>IFERROR(VLOOKUP(B10,ACOCommercial2022[],9,FALSE),"NA")</f>
        <v>NA</v>
      </c>
      <c r="G10" s="7" t="str">
        <f>IFERROR(VLOOKUP(B10,ACOCommercial2022[],12,FALSE),"NA")</f>
        <v>NA</v>
      </c>
      <c r="H10" s="7" t="str">
        <f>IFERROR(VLOOKUP(B10,ACOCommercial2022[],15,FALSE),"NA")</f>
        <v>NA</v>
      </c>
      <c r="I10" s="7" t="str">
        <f>IFERROR(VLOOKUP(B10,ACOCommercial2022[],18,FALSE),"NA")</f>
        <v>NA</v>
      </c>
      <c r="J10" s="7" t="str">
        <f>IFERROR(VLOOKUP(B10,ACOCommercial2022[],21,FALSE),"NA")</f>
        <v>NA</v>
      </c>
      <c r="K10" s="7" t="str">
        <f>IFERROR(VLOOKUP(B10,ACOCommercial2022[],24,FALSE),"NA")</f>
        <v>NA</v>
      </c>
      <c r="L10" s="7" t="str">
        <f>IFERROR(VLOOKUP(B10,ACOCommercial2022[],27,FALSE),"NA")</f>
        <v>NA</v>
      </c>
      <c r="M10" s="7" t="str">
        <f>IFERROR(VLOOKUP(B10,ACOCommercial2022[],30,FALSE),"NA")</f>
        <v>NA</v>
      </c>
    </row>
    <row r="11" spans="2:13" x14ac:dyDescent="0.25">
      <c r="B11" s="39">
        <v>104</v>
      </c>
      <c r="C11" s="3" t="s">
        <v>34</v>
      </c>
      <c r="D11" s="3" t="s">
        <v>30</v>
      </c>
      <c r="E11" s="7" t="str">
        <f>IFERROR(VLOOKUP(B11,ACOCommercial2022[],6,FALSE),"NA")</f>
        <v>NA</v>
      </c>
      <c r="F11" s="7" t="str">
        <f>IFERROR(VLOOKUP(B11,ACOCommercial2022[],9,FALSE),"NA")</f>
        <v>NA</v>
      </c>
      <c r="G11" s="7" t="str">
        <f>IFERROR(VLOOKUP(B11,ACOCommercial2022[],12,FALSE),"NA")</f>
        <v>NA</v>
      </c>
      <c r="H11" s="7" t="str">
        <f>IFERROR(VLOOKUP(B11,ACOCommercial2022[],15,FALSE),"NA")</f>
        <v>NA</v>
      </c>
      <c r="I11" s="7" t="str">
        <f>IFERROR(VLOOKUP(B11,ACOCommercial2022[],18,FALSE),"NA")</f>
        <v>NA</v>
      </c>
      <c r="J11" s="7" t="str">
        <f>IFERROR(VLOOKUP(B11,ACOCommercial2022[],21,FALSE),"NA")</f>
        <v>NA</v>
      </c>
      <c r="K11" s="7" t="str">
        <f>IFERROR(VLOOKUP(B11,ACOCommercial2022[],24,FALSE),"NA")</f>
        <v>NA</v>
      </c>
      <c r="L11" s="7" t="str">
        <f>IFERROR(VLOOKUP(B11,ACOCommercial2022[],27,FALSE),"NA")</f>
        <v>NA</v>
      </c>
      <c r="M11" s="7" t="str">
        <f>IFERROR(VLOOKUP(B11,ACOCommercial2022[],30,FALSE),"NA")</f>
        <v>NA</v>
      </c>
    </row>
    <row r="12" spans="2:13" x14ac:dyDescent="0.25">
      <c r="B12" s="39">
        <v>105</v>
      </c>
      <c r="C12" s="3" t="s">
        <v>34</v>
      </c>
      <c r="D12" s="3" t="s">
        <v>31</v>
      </c>
      <c r="E12" s="7" t="str">
        <f>IFERROR(VLOOKUP(B12,ACOCommercial2022[],6,FALSE),"NA")</f>
        <v>NA</v>
      </c>
      <c r="F12" s="7" t="str">
        <f>IFERROR(VLOOKUP(B12,ACOCommercial2022[],9,FALSE),"NA")</f>
        <v>NA</v>
      </c>
      <c r="G12" s="7" t="str">
        <f>IFERROR(VLOOKUP(B12,ACOCommercial2022[],12,FALSE),"NA")</f>
        <v>NA</v>
      </c>
      <c r="H12" s="7" t="str">
        <f>IFERROR(VLOOKUP(B12,ACOCommercial2022[],15,FALSE),"NA")</f>
        <v>NA</v>
      </c>
      <c r="I12" s="7" t="str">
        <f>IFERROR(VLOOKUP(B12,ACOCommercial2022[],18,FALSE),"NA")</f>
        <v>NA</v>
      </c>
      <c r="J12" s="7" t="str">
        <f>IFERROR(VLOOKUP(B12,ACOCommercial2022[],21,FALSE),"NA")</f>
        <v>NA</v>
      </c>
      <c r="K12" s="7" t="str">
        <f>IFERROR(VLOOKUP(B12,ACOCommercial2022[],24,FALSE),"NA")</f>
        <v>NA</v>
      </c>
      <c r="L12" s="7" t="str">
        <f>IFERROR(VLOOKUP(B12,ACOCommercial2022[],27,FALSE),"NA")</f>
        <v>NA</v>
      </c>
      <c r="M12" s="7" t="str">
        <f>IFERROR(VLOOKUP(B12,ACOCommercial2022[],30,FALSE),"NA")</f>
        <v>NA</v>
      </c>
    </row>
    <row r="13" spans="2:13" x14ac:dyDescent="0.25">
      <c r="B13" s="39">
        <v>106</v>
      </c>
      <c r="C13" s="3" t="s">
        <v>34</v>
      </c>
      <c r="D13" s="3" t="s">
        <v>32</v>
      </c>
      <c r="E13" s="7" t="str">
        <f>IFERROR(VLOOKUP(B13,ACOCommercial2022[],6,FALSE),"NA")</f>
        <v>NA</v>
      </c>
      <c r="F13" s="7" t="str">
        <f>IFERROR(VLOOKUP(B13,ACOCommercial2022[],9,FALSE),"NA")</f>
        <v>NA</v>
      </c>
      <c r="G13" s="7" t="str">
        <f>IFERROR(VLOOKUP(B13,ACOCommercial2022[],12,FALSE),"NA")</f>
        <v>NA</v>
      </c>
      <c r="H13" s="7" t="str">
        <f>IFERROR(VLOOKUP(B13,ACOCommercial2022[],15,FALSE),"NA")</f>
        <v>NA</v>
      </c>
      <c r="I13" s="7" t="str">
        <f>IFERROR(VLOOKUP(B13,ACOCommercial2022[],18,FALSE),"NA")</f>
        <v>NA</v>
      </c>
      <c r="J13" s="7" t="str">
        <f>IFERROR(VLOOKUP(B13,ACOCommercial2022[],21,FALSE),"NA")</f>
        <v>NA</v>
      </c>
      <c r="K13" s="7" t="str">
        <f>IFERROR(VLOOKUP(B13,ACOCommercial2022[],24,FALSE),"NA")</f>
        <v>NA</v>
      </c>
      <c r="L13" s="7" t="str">
        <f>IFERROR(VLOOKUP(B13,ACOCommercial2022[],27,FALSE),"NA")</f>
        <v>NA</v>
      </c>
      <c r="M13" s="7" t="str">
        <f>IFERROR(VLOOKUP(B13,ACOCommercial2022[],30,FALSE),"NA")</f>
        <v>NA</v>
      </c>
    </row>
    <row r="14" spans="2:13" x14ac:dyDescent="0.25">
      <c r="B14" s="39">
        <v>107</v>
      </c>
      <c r="C14" s="3" t="s">
        <v>34</v>
      </c>
      <c r="D14" s="3" t="s">
        <v>33</v>
      </c>
      <c r="E14" s="7" t="str">
        <f>IFERROR(VLOOKUP(B14,ACOCommercial2022[],6,FALSE),"NA")</f>
        <v>NA</v>
      </c>
      <c r="F14" s="7" t="str">
        <f>IFERROR(VLOOKUP(B14,ACOCommercial2022[],9,FALSE),"NA")</f>
        <v>NA</v>
      </c>
      <c r="G14" s="7" t="str">
        <f>IFERROR(VLOOKUP(B14,ACOCommercial2022[],12,FALSE),"NA")</f>
        <v>NA</v>
      </c>
      <c r="H14" s="7" t="str">
        <f>IFERROR(VLOOKUP(B14,ACOCommercial2022[],15,FALSE),"NA")</f>
        <v>NA</v>
      </c>
      <c r="I14" s="7" t="str">
        <f>IFERROR(VLOOKUP(B14,ACOCommercial2022[],18,FALSE),"NA")</f>
        <v>NA</v>
      </c>
      <c r="J14" s="7" t="str">
        <f>IFERROR(VLOOKUP(B14,ACOCommercial2022[],21,FALSE),"NA")</f>
        <v>NA</v>
      </c>
      <c r="K14" s="7" t="str">
        <f>IFERROR(VLOOKUP(B14,ACOCommercial2022[],24,FALSE),"NA")</f>
        <v>NA</v>
      </c>
      <c r="L14" s="7" t="str">
        <f>IFERROR(VLOOKUP(B14,ACOCommercial2022[],27,FALSE),"NA")</f>
        <v>NA</v>
      </c>
      <c r="M14" s="7" t="str">
        <f>IFERROR(VLOOKUP(B14,ACOCommercial2022[],30,FALSE),"NA")</f>
        <v>NA</v>
      </c>
    </row>
    <row r="15" spans="2:13" x14ac:dyDescent="0.25">
      <c r="B15" s="39">
        <v>108</v>
      </c>
      <c r="C15" s="3" t="s">
        <v>34</v>
      </c>
      <c r="D15" s="3" t="s">
        <v>54</v>
      </c>
      <c r="E15" s="7" t="str">
        <f>IFERROR(VLOOKUP(B15,ACOCommercial2022[],6,FALSE),"NA")</f>
        <v>NA</v>
      </c>
      <c r="F15" s="7" t="str">
        <f>IFERROR(VLOOKUP(B15,ACOCommercial2022[],9,FALSE),"NA")</f>
        <v>NA</v>
      </c>
      <c r="G15" s="7" t="str">
        <f>IFERROR(VLOOKUP(B15,ACOCommercial2022[],12,FALSE),"NA")</f>
        <v>NA</v>
      </c>
      <c r="H15" s="7" t="str">
        <f>IFERROR(VLOOKUP(B15,ACOCommercial2022[],15,FALSE),"NA")</f>
        <v>NA</v>
      </c>
      <c r="I15" s="7" t="str">
        <f>IFERROR(VLOOKUP(B15,ACOCommercial2022[],18,FALSE),"NA")</f>
        <v>NA</v>
      </c>
      <c r="J15" s="7" t="str">
        <f>IFERROR(VLOOKUP(B15,ACOCommercial2022[],21,FALSE),"NA")</f>
        <v>NA</v>
      </c>
      <c r="K15" s="7" t="str">
        <f>IFERROR(VLOOKUP(B15,ACOCommercial2022[],24,FALSE),"NA")</f>
        <v>NA</v>
      </c>
      <c r="L15" s="7" t="str">
        <f>IFERROR(VLOOKUP(B15,ACOCommercial2022[],27,FALSE),"NA")</f>
        <v>NA</v>
      </c>
      <c r="M15" s="7" t="str">
        <f>IFERROR(VLOOKUP(B15,ACOCommercial2022[],30,FALSE),"NA")</f>
        <v>NA</v>
      </c>
    </row>
    <row r="17" spans="2:22" x14ac:dyDescent="0.25">
      <c r="B17" s="15" t="s">
        <v>49</v>
      </c>
      <c r="C17" s="1"/>
    </row>
    <row r="18" spans="2:22" x14ac:dyDescent="0.25">
      <c r="B18" s="13" t="s">
        <v>101</v>
      </c>
      <c r="C18" s="1"/>
    </row>
    <row r="19" spans="2:22" s="9" customFormat="1" x14ac:dyDescent="0.25">
      <c r="B19" s="69" t="s">
        <v>95</v>
      </c>
      <c r="C19" s="71" t="s">
        <v>26</v>
      </c>
      <c r="D19" s="71" t="s">
        <v>97</v>
      </c>
      <c r="E19" s="75">
        <v>2022</v>
      </c>
      <c r="F19" s="76"/>
      <c r="G19" s="76"/>
      <c r="H19" s="76"/>
      <c r="I19" s="76"/>
      <c r="J19" s="76"/>
      <c r="K19" s="76"/>
      <c r="L19" s="76"/>
      <c r="M19" s="76"/>
      <c r="N19" s="76"/>
      <c r="O19" s="76"/>
      <c r="P19" s="76"/>
      <c r="Q19" s="76"/>
      <c r="R19" s="76"/>
      <c r="S19" s="76"/>
      <c r="T19" s="76"/>
      <c r="U19" s="76"/>
      <c r="V19" s="77"/>
    </row>
    <row r="20" spans="2:22" ht="59.45" customHeight="1" x14ac:dyDescent="0.25">
      <c r="B20" s="73"/>
      <c r="C20" s="74"/>
      <c r="D20" s="74"/>
      <c r="E20" s="78" t="s">
        <v>6</v>
      </c>
      <c r="F20" s="78"/>
      <c r="G20" s="78" t="s">
        <v>7</v>
      </c>
      <c r="H20" s="78"/>
      <c r="I20" s="78" t="s">
        <v>112</v>
      </c>
      <c r="J20" s="78"/>
      <c r="K20" s="78" t="s">
        <v>107</v>
      </c>
      <c r="L20" s="78"/>
      <c r="M20" s="78" t="s">
        <v>5</v>
      </c>
      <c r="N20" s="78"/>
      <c r="O20" s="78" t="s">
        <v>108</v>
      </c>
      <c r="P20" s="78"/>
      <c r="Q20" s="78" t="s">
        <v>131</v>
      </c>
      <c r="R20" s="78"/>
      <c r="S20" s="78" t="s">
        <v>132</v>
      </c>
      <c r="T20" s="78"/>
      <c r="U20" s="78" t="s">
        <v>8</v>
      </c>
      <c r="V20" s="78"/>
    </row>
    <row r="21" spans="2:22" x14ac:dyDescent="0.25">
      <c r="B21" s="70"/>
      <c r="C21" s="72"/>
      <c r="D21" s="72"/>
      <c r="E21" s="6" t="s">
        <v>3</v>
      </c>
      <c r="F21" s="6" t="s">
        <v>4</v>
      </c>
      <c r="G21" s="6" t="s">
        <v>3</v>
      </c>
      <c r="H21" s="6" t="s">
        <v>4</v>
      </c>
      <c r="I21" s="6" t="s">
        <v>3</v>
      </c>
      <c r="J21" s="6" t="s">
        <v>4</v>
      </c>
      <c r="K21" s="6" t="s">
        <v>3</v>
      </c>
      <c r="L21" s="6" t="s">
        <v>4</v>
      </c>
      <c r="M21" s="6" t="s">
        <v>3</v>
      </c>
      <c r="N21" s="6" t="s">
        <v>4</v>
      </c>
      <c r="O21" s="6" t="s">
        <v>3</v>
      </c>
      <c r="P21" s="6" t="s">
        <v>4</v>
      </c>
      <c r="Q21" s="6" t="s">
        <v>3</v>
      </c>
      <c r="R21" s="6" t="s">
        <v>4</v>
      </c>
      <c r="S21" s="6" t="s">
        <v>3</v>
      </c>
      <c r="T21" s="6" t="s">
        <v>4</v>
      </c>
      <c r="U21" s="6" t="s">
        <v>3</v>
      </c>
      <c r="V21" s="6" t="s">
        <v>4</v>
      </c>
    </row>
    <row r="22" spans="2:22" x14ac:dyDescent="0.25">
      <c r="B22" s="39">
        <v>101</v>
      </c>
      <c r="C22" s="3" t="s">
        <v>34</v>
      </c>
      <c r="D22" s="3" t="s">
        <v>27</v>
      </c>
      <c r="E22" s="38" t="str">
        <f>IFERROR(VLOOKUP(B22,ACOCommercial2022[],4,FALSE),"NA")</f>
        <v>NA</v>
      </c>
      <c r="F22" s="38" t="str">
        <f>IFERROR(VLOOKUP(B22,ACOCommercial2022[],5,FALSE),"NA")</f>
        <v>NA</v>
      </c>
      <c r="G22" s="38" t="str">
        <f>IFERROR(VLOOKUP(B22,ACOCommercial2022[],7,FALSE),"NA")</f>
        <v>NA</v>
      </c>
      <c r="H22" s="38" t="str">
        <f>IFERROR(VLOOKUP(B22,ACOCommercial2022[],8,FALSE),"NA")</f>
        <v>NA</v>
      </c>
      <c r="I22" s="38" t="str">
        <f>IFERROR(VLOOKUP(B22,ACOCommercial2022[],10,FALSE),"NA")</f>
        <v>NA</v>
      </c>
      <c r="J22" s="38" t="str">
        <f>IFERROR(VLOOKUP(B22,ACOCommercial2022[],11,FALSE),"NA")</f>
        <v>NA</v>
      </c>
      <c r="K22" s="38" t="str">
        <f>IFERROR(VLOOKUP(B22,ACOCommercial2022[],13,FALSE),"NA")</f>
        <v>NA</v>
      </c>
      <c r="L22" s="38" t="str">
        <f>IFERROR(VLOOKUP(B22,ACOCommercial2022[],14,FALSE),"NA")</f>
        <v>NA</v>
      </c>
      <c r="M22" s="38" t="str">
        <f>IFERROR(VLOOKUP(B22,ACOCommercial2022[],16,FALSE),"NA")</f>
        <v>NA</v>
      </c>
      <c r="N22" s="38" t="str">
        <f>IFERROR(VLOOKUP(B22,ACOCommercial2022[],17,FALSE),"NA")</f>
        <v>NA</v>
      </c>
      <c r="O22" s="38" t="str">
        <f>IFERROR(VLOOKUP(B22,ACOCommercial2022[],19,FALSE),"NA")</f>
        <v>NA</v>
      </c>
      <c r="P22" s="38" t="str">
        <f>IFERROR(VLOOKUP(B22,ACOCommercial2022[],20,FALSE),"NA")</f>
        <v>NA</v>
      </c>
      <c r="Q22" s="38" t="str">
        <f>IFERROR(VLOOKUP(B22,ACOCommercial2022[],22,FALSE),"NA")</f>
        <v>NA</v>
      </c>
      <c r="R22" s="38" t="str">
        <f>IFERROR(VLOOKUP(B22,ACOCommercial2022[],23,FALSE),"NA")</f>
        <v>NA</v>
      </c>
      <c r="S22" s="38" t="str">
        <f>IFERROR(VLOOKUP(B22,ACOCommercial2022[],25,FALSE),"NA")</f>
        <v>NA</v>
      </c>
      <c r="T22" s="38" t="str">
        <f>IFERROR(VLOOKUP(B22,ACOCommercial2022[],26,FALSE),"NA")</f>
        <v>NA</v>
      </c>
      <c r="U22" s="38" t="str">
        <f>IFERROR(VLOOKUP(B22,ACOCommercial2022[],28,FALSE),"NA")</f>
        <v>NA</v>
      </c>
      <c r="V22" s="38" t="str">
        <f>IFERROR(VLOOKUP(B22,ACOCommercial2022[],29,FALSE),"NA")</f>
        <v>NA</v>
      </c>
    </row>
    <row r="23" spans="2:22" x14ac:dyDescent="0.25">
      <c r="B23" s="39">
        <v>102</v>
      </c>
      <c r="C23" s="3" t="s">
        <v>34</v>
      </c>
      <c r="D23" s="3" t="s">
        <v>28</v>
      </c>
      <c r="E23" s="38" t="str">
        <f>IFERROR(VLOOKUP(B23,ACOCommercial2022[],4,FALSE),"NA")</f>
        <v>NA</v>
      </c>
      <c r="F23" s="38" t="str">
        <f>IFERROR(VLOOKUP(B23,ACOCommercial2022[],5,FALSE),"NA")</f>
        <v>NA</v>
      </c>
      <c r="G23" s="38" t="str">
        <f>IFERROR(VLOOKUP(B23,ACOCommercial2022[],7,FALSE),"NA")</f>
        <v>NA</v>
      </c>
      <c r="H23" s="38" t="str">
        <f>IFERROR(VLOOKUP(B23,ACOCommercial2022[],8,FALSE),"NA")</f>
        <v>NA</v>
      </c>
      <c r="I23" s="38" t="str">
        <f>IFERROR(VLOOKUP(B23,ACOCommercial2022[],10,FALSE),"NA")</f>
        <v>NA</v>
      </c>
      <c r="J23" s="38" t="str">
        <f>IFERROR(VLOOKUP(B23,ACOCommercial2022[],11,FALSE),"NA")</f>
        <v>NA</v>
      </c>
      <c r="K23" s="38" t="str">
        <f>IFERROR(VLOOKUP(B23,ACOCommercial2022[],13,FALSE),"NA")</f>
        <v>NA</v>
      </c>
      <c r="L23" s="38" t="str">
        <f>IFERROR(VLOOKUP(B23,ACOCommercial2022[],14,FALSE),"NA")</f>
        <v>NA</v>
      </c>
      <c r="M23" s="38" t="str">
        <f>IFERROR(VLOOKUP(B23,ACOCommercial2022[],16,FALSE),"NA")</f>
        <v>NA</v>
      </c>
      <c r="N23" s="38" t="str">
        <f>IFERROR(VLOOKUP(B23,ACOCommercial2022[],17,FALSE),"NA")</f>
        <v>NA</v>
      </c>
      <c r="O23" s="38" t="str">
        <f>IFERROR(VLOOKUP(B23,ACOCommercial2022[],19,FALSE),"NA")</f>
        <v>NA</v>
      </c>
      <c r="P23" s="38" t="str">
        <f>IFERROR(VLOOKUP(B23,ACOCommercial2022[],20,FALSE),"NA")</f>
        <v>NA</v>
      </c>
      <c r="Q23" s="38" t="str">
        <f>IFERROR(VLOOKUP(B23,ACOCommercial2022[],22,FALSE),"NA")</f>
        <v>NA</v>
      </c>
      <c r="R23" s="38" t="str">
        <f>IFERROR(VLOOKUP(B23,ACOCommercial2022[],23,FALSE),"NA")</f>
        <v>NA</v>
      </c>
      <c r="S23" s="38" t="str">
        <f>IFERROR(VLOOKUP(B23,ACOCommercial2022[],25,FALSE),"NA")</f>
        <v>NA</v>
      </c>
      <c r="T23" s="38" t="str">
        <f>IFERROR(VLOOKUP(B23,ACOCommercial2022[],26,FALSE),"NA")</f>
        <v>NA</v>
      </c>
      <c r="U23" s="38" t="str">
        <f>IFERROR(VLOOKUP(B23,ACOCommercial2022[],28,FALSE),"NA")</f>
        <v>NA</v>
      </c>
      <c r="V23" s="38" t="str">
        <f>IFERROR(VLOOKUP(B23,ACOCommercial2022[],29,FALSE),"NA")</f>
        <v>NA</v>
      </c>
    </row>
    <row r="24" spans="2:22" x14ac:dyDescent="0.25">
      <c r="B24" s="39">
        <v>103</v>
      </c>
      <c r="C24" s="3" t="s">
        <v>34</v>
      </c>
      <c r="D24" s="3" t="s">
        <v>29</v>
      </c>
      <c r="E24" s="38" t="str">
        <f>IFERROR(VLOOKUP(B24,ACOCommercial2022[],4,FALSE),"NA")</f>
        <v>NA</v>
      </c>
      <c r="F24" s="38" t="str">
        <f>IFERROR(VLOOKUP(B24,ACOCommercial2022[],5,FALSE),"NA")</f>
        <v>NA</v>
      </c>
      <c r="G24" s="38" t="str">
        <f>IFERROR(VLOOKUP(B24,ACOCommercial2022[],7,FALSE),"NA")</f>
        <v>NA</v>
      </c>
      <c r="H24" s="38" t="str">
        <f>IFERROR(VLOOKUP(B24,ACOCommercial2022[],8,FALSE),"NA")</f>
        <v>NA</v>
      </c>
      <c r="I24" s="38" t="str">
        <f>IFERROR(VLOOKUP(B24,ACOCommercial2022[],10,FALSE),"NA")</f>
        <v>NA</v>
      </c>
      <c r="J24" s="38" t="str">
        <f>IFERROR(VLOOKUP(B24,ACOCommercial2022[],11,FALSE),"NA")</f>
        <v>NA</v>
      </c>
      <c r="K24" s="38" t="str">
        <f>IFERROR(VLOOKUP(B24,ACOCommercial2022[],13,FALSE),"NA")</f>
        <v>NA</v>
      </c>
      <c r="L24" s="38" t="str">
        <f>IFERROR(VLOOKUP(B24,ACOCommercial2022[],14,FALSE),"NA")</f>
        <v>NA</v>
      </c>
      <c r="M24" s="38" t="str">
        <f>IFERROR(VLOOKUP(B24,ACOCommercial2022[],16,FALSE),"NA")</f>
        <v>NA</v>
      </c>
      <c r="N24" s="38" t="str">
        <f>IFERROR(VLOOKUP(B24,ACOCommercial2022[],17,FALSE),"NA")</f>
        <v>NA</v>
      </c>
      <c r="O24" s="38" t="str">
        <f>IFERROR(VLOOKUP(B24,ACOCommercial2022[],19,FALSE),"NA")</f>
        <v>NA</v>
      </c>
      <c r="P24" s="38" t="str">
        <f>IFERROR(VLOOKUP(B24,ACOCommercial2022[],20,FALSE),"NA")</f>
        <v>NA</v>
      </c>
      <c r="Q24" s="38" t="str">
        <f>IFERROR(VLOOKUP(B24,ACOCommercial2022[],22,FALSE),"NA")</f>
        <v>NA</v>
      </c>
      <c r="R24" s="38" t="str">
        <f>IFERROR(VLOOKUP(B24,ACOCommercial2022[],23,FALSE),"NA")</f>
        <v>NA</v>
      </c>
      <c r="S24" s="38" t="str">
        <f>IFERROR(VLOOKUP(B24,ACOCommercial2022[],25,FALSE),"NA")</f>
        <v>NA</v>
      </c>
      <c r="T24" s="38" t="str">
        <f>IFERROR(VLOOKUP(B24,ACOCommercial2022[],26,FALSE),"NA")</f>
        <v>NA</v>
      </c>
      <c r="U24" s="38" t="str">
        <f>IFERROR(VLOOKUP(B24,ACOCommercial2022[],28,FALSE),"NA")</f>
        <v>NA</v>
      </c>
      <c r="V24" s="38" t="str">
        <f>IFERROR(VLOOKUP(B24,ACOCommercial2022[],29,FALSE),"NA")</f>
        <v>NA</v>
      </c>
    </row>
    <row r="25" spans="2:22" x14ac:dyDescent="0.25">
      <c r="B25" s="39">
        <v>104</v>
      </c>
      <c r="C25" s="3" t="s">
        <v>34</v>
      </c>
      <c r="D25" s="3" t="s">
        <v>30</v>
      </c>
      <c r="E25" s="38" t="str">
        <f>IFERROR(VLOOKUP(B25,ACOCommercial2022[],4,FALSE),"NA")</f>
        <v>NA</v>
      </c>
      <c r="F25" s="38" t="str">
        <f>IFERROR(VLOOKUP(B25,ACOCommercial2022[],5,FALSE),"NA")</f>
        <v>NA</v>
      </c>
      <c r="G25" s="38" t="str">
        <f>IFERROR(VLOOKUP(B25,ACOCommercial2022[],7,FALSE),"NA")</f>
        <v>NA</v>
      </c>
      <c r="H25" s="38" t="str">
        <f>IFERROR(VLOOKUP(B25,ACOCommercial2022[],8,FALSE),"NA")</f>
        <v>NA</v>
      </c>
      <c r="I25" s="38" t="str">
        <f>IFERROR(VLOOKUP(B25,ACOCommercial2022[],10,FALSE),"NA")</f>
        <v>NA</v>
      </c>
      <c r="J25" s="38" t="str">
        <f>IFERROR(VLOOKUP(B25,ACOCommercial2022[],11,FALSE),"NA")</f>
        <v>NA</v>
      </c>
      <c r="K25" s="38" t="str">
        <f>IFERROR(VLOOKUP(B25,ACOCommercial2022[],13,FALSE),"NA")</f>
        <v>NA</v>
      </c>
      <c r="L25" s="38" t="str">
        <f>IFERROR(VLOOKUP(B25,ACOCommercial2022[],14,FALSE),"NA")</f>
        <v>NA</v>
      </c>
      <c r="M25" s="38" t="str">
        <f>IFERROR(VLOOKUP(B25,ACOCommercial2022[],16,FALSE),"NA")</f>
        <v>NA</v>
      </c>
      <c r="N25" s="38" t="str">
        <f>IFERROR(VLOOKUP(B25,ACOCommercial2022[],17,FALSE),"NA")</f>
        <v>NA</v>
      </c>
      <c r="O25" s="38" t="str">
        <f>IFERROR(VLOOKUP(B25,ACOCommercial2022[],19,FALSE),"NA")</f>
        <v>NA</v>
      </c>
      <c r="P25" s="38" t="str">
        <f>IFERROR(VLOOKUP(B25,ACOCommercial2022[],20,FALSE),"NA")</f>
        <v>NA</v>
      </c>
      <c r="Q25" s="38" t="str">
        <f>IFERROR(VLOOKUP(B25,ACOCommercial2022[],22,FALSE),"NA")</f>
        <v>NA</v>
      </c>
      <c r="R25" s="38" t="str">
        <f>IFERROR(VLOOKUP(B25,ACOCommercial2022[],23,FALSE),"NA")</f>
        <v>NA</v>
      </c>
      <c r="S25" s="38" t="str">
        <f>IFERROR(VLOOKUP(B25,ACOCommercial2022[],25,FALSE),"NA")</f>
        <v>NA</v>
      </c>
      <c r="T25" s="38" t="str">
        <f>IFERROR(VLOOKUP(B25,ACOCommercial2022[],26,FALSE),"NA")</f>
        <v>NA</v>
      </c>
      <c r="U25" s="38" t="str">
        <f>IFERROR(VLOOKUP(B25,ACOCommercial2022[],28,FALSE),"NA")</f>
        <v>NA</v>
      </c>
      <c r="V25" s="38" t="str">
        <f>IFERROR(VLOOKUP(B25,ACOCommercial2022[],29,FALSE),"NA")</f>
        <v>NA</v>
      </c>
    </row>
    <row r="26" spans="2:22" x14ac:dyDescent="0.25">
      <c r="B26" s="39">
        <v>105</v>
      </c>
      <c r="C26" s="3" t="s">
        <v>34</v>
      </c>
      <c r="D26" s="3" t="s">
        <v>31</v>
      </c>
      <c r="E26" s="38" t="str">
        <f>IFERROR(VLOOKUP(B26,ACOCommercial2022[],4,FALSE),"NA")</f>
        <v>NA</v>
      </c>
      <c r="F26" s="38" t="str">
        <f>IFERROR(VLOOKUP(B26,ACOCommercial2022[],5,FALSE),"NA")</f>
        <v>NA</v>
      </c>
      <c r="G26" s="38" t="str">
        <f>IFERROR(VLOOKUP(B26,ACOCommercial2022[],7,FALSE),"NA")</f>
        <v>NA</v>
      </c>
      <c r="H26" s="38" t="str">
        <f>IFERROR(VLOOKUP(B26,ACOCommercial2022[],8,FALSE),"NA")</f>
        <v>NA</v>
      </c>
      <c r="I26" s="38" t="str">
        <f>IFERROR(VLOOKUP(B26,ACOCommercial2022[],10,FALSE),"NA")</f>
        <v>NA</v>
      </c>
      <c r="J26" s="38" t="str">
        <f>IFERROR(VLOOKUP(B26,ACOCommercial2022[],11,FALSE),"NA")</f>
        <v>NA</v>
      </c>
      <c r="K26" s="38" t="str">
        <f>IFERROR(VLOOKUP(B26,ACOCommercial2022[],13,FALSE),"NA")</f>
        <v>NA</v>
      </c>
      <c r="L26" s="38" t="str">
        <f>IFERROR(VLOOKUP(B26,ACOCommercial2022[],14,FALSE),"NA")</f>
        <v>NA</v>
      </c>
      <c r="M26" s="38" t="str">
        <f>IFERROR(VLOOKUP(B26,ACOCommercial2022[],16,FALSE),"NA")</f>
        <v>NA</v>
      </c>
      <c r="N26" s="38" t="str">
        <f>IFERROR(VLOOKUP(B26,ACOCommercial2022[],17,FALSE),"NA")</f>
        <v>NA</v>
      </c>
      <c r="O26" s="38" t="str">
        <f>IFERROR(VLOOKUP(B26,ACOCommercial2022[],19,FALSE),"NA")</f>
        <v>NA</v>
      </c>
      <c r="P26" s="38" t="str">
        <f>IFERROR(VLOOKUP(B26,ACOCommercial2022[],20,FALSE),"NA")</f>
        <v>NA</v>
      </c>
      <c r="Q26" s="38" t="str">
        <f>IFERROR(VLOOKUP(B26,ACOCommercial2022[],22,FALSE),"NA")</f>
        <v>NA</v>
      </c>
      <c r="R26" s="38" t="str">
        <f>IFERROR(VLOOKUP(B26,ACOCommercial2022[],23,FALSE),"NA")</f>
        <v>NA</v>
      </c>
      <c r="S26" s="38" t="str">
        <f>IFERROR(VLOOKUP(B26,ACOCommercial2022[],25,FALSE),"NA")</f>
        <v>NA</v>
      </c>
      <c r="T26" s="38" t="str">
        <f>IFERROR(VLOOKUP(B26,ACOCommercial2022[],26,FALSE),"NA")</f>
        <v>NA</v>
      </c>
      <c r="U26" s="38" t="str">
        <f>IFERROR(VLOOKUP(B26,ACOCommercial2022[],28,FALSE),"NA")</f>
        <v>NA</v>
      </c>
      <c r="V26" s="38" t="str">
        <f>IFERROR(VLOOKUP(B26,ACOCommercial2022[],29,FALSE),"NA")</f>
        <v>NA</v>
      </c>
    </row>
    <row r="27" spans="2:22" x14ac:dyDescent="0.25">
      <c r="B27" s="39">
        <v>106</v>
      </c>
      <c r="C27" s="3" t="s">
        <v>34</v>
      </c>
      <c r="D27" s="3" t="s">
        <v>32</v>
      </c>
      <c r="E27" s="38" t="str">
        <f>IFERROR(VLOOKUP(B27,ACOCommercial2022[],4,FALSE),"NA")</f>
        <v>NA</v>
      </c>
      <c r="F27" s="38" t="str">
        <f>IFERROR(VLOOKUP(B27,ACOCommercial2022[],5,FALSE),"NA")</f>
        <v>NA</v>
      </c>
      <c r="G27" s="38" t="str">
        <f>IFERROR(VLOOKUP(B27,ACOCommercial2022[],7,FALSE),"NA")</f>
        <v>NA</v>
      </c>
      <c r="H27" s="38" t="str">
        <f>IFERROR(VLOOKUP(B27,ACOCommercial2022[],8,FALSE),"NA")</f>
        <v>NA</v>
      </c>
      <c r="I27" s="38" t="str">
        <f>IFERROR(VLOOKUP(B27,ACOCommercial2022[],10,FALSE),"NA")</f>
        <v>NA</v>
      </c>
      <c r="J27" s="38" t="str">
        <f>IFERROR(VLOOKUP(B27,ACOCommercial2022[],11,FALSE),"NA")</f>
        <v>NA</v>
      </c>
      <c r="K27" s="38" t="str">
        <f>IFERROR(VLOOKUP(B27,ACOCommercial2022[],13,FALSE),"NA")</f>
        <v>NA</v>
      </c>
      <c r="L27" s="38" t="str">
        <f>IFERROR(VLOOKUP(B27,ACOCommercial2022[],14,FALSE),"NA")</f>
        <v>NA</v>
      </c>
      <c r="M27" s="38" t="str">
        <f>IFERROR(VLOOKUP(B27,ACOCommercial2022[],16,FALSE),"NA")</f>
        <v>NA</v>
      </c>
      <c r="N27" s="38" t="str">
        <f>IFERROR(VLOOKUP(B27,ACOCommercial2022[],17,FALSE),"NA")</f>
        <v>NA</v>
      </c>
      <c r="O27" s="38" t="str">
        <f>IFERROR(VLOOKUP(B27,ACOCommercial2022[],19,FALSE),"NA")</f>
        <v>NA</v>
      </c>
      <c r="P27" s="38" t="str">
        <f>IFERROR(VLOOKUP(B27,ACOCommercial2022[],20,FALSE),"NA")</f>
        <v>NA</v>
      </c>
      <c r="Q27" s="38" t="str">
        <f>IFERROR(VLOOKUP(B27,ACOCommercial2022[],22,FALSE),"NA")</f>
        <v>NA</v>
      </c>
      <c r="R27" s="38" t="str">
        <f>IFERROR(VLOOKUP(B27,ACOCommercial2022[],23,FALSE),"NA")</f>
        <v>NA</v>
      </c>
      <c r="S27" s="38" t="str">
        <f>IFERROR(VLOOKUP(B27,ACOCommercial2022[],25,FALSE),"NA")</f>
        <v>NA</v>
      </c>
      <c r="T27" s="38" t="str">
        <f>IFERROR(VLOOKUP(B27,ACOCommercial2022[],26,FALSE),"NA")</f>
        <v>NA</v>
      </c>
      <c r="U27" s="38" t="str">
        <f>IFERROR(VLOOKUP(B27,ACOCommercial2022[],28,FALSE),"NA")</f>
        <v>NA</v>
      </c>
      <c r="V27" s="38" t="str">
        <f>IFERROR(VLOOKUP(B27,ACOCommercial2022[],29,FALSE),"NA")</f>
        <v>NA</v>
      </c>
    </row>
    <row r="28" spans="2:22" x14ac:dyDescent="0.25">
      <c r="B28" s="39">
        <v>107</v>
      </c>
      <c r="C28" s="3" t="s">
        <v>34</v>
      </c>
      <c r="D28" s="3" t="s">
        <v>33</v>
      </c>
      <c r="E28" s="38" t="str">
        <f>IFERROR(VLOOKUP(B28,ACOCommercial2022[],4,FALSE),"NA")</f>
        <v>NA</v>
      </c>
      <c r="F28" s="38" t="str">
        <f>IFERROR(VLOOKUP(B28,ACOCommercial2022[],5,FALSE),"NA")</f>
        <v>NA</v>
      </c>
      <c r="G28" s="38" t="str">
        <f>IFERROR(VLOOKUP(B28,ACOCommercial2022[],7,FALSE),"NA")</f>
        <v>NA</v>
      </c>
      <c r="H28" s="38" t="str">
        <f>IFERROR(VLOOKUP(B28,ACOCommercial2022[],8,FALSE),"NA")</f>
        <v>NA</v>
      </c>
      <c r="I28" s="38" t="str">
        <f>IFERROR(VLOOKUP(B28,ACOCommercial2022[],10,FALSE),"NA")</f>
        <v>NA</v>
      </c>
      <c r="J28" s="38" t="str">
        <f>IFERROR(VLOOKUP(B28,ACOCommercial2022[],11,FALSE),"NA")</f>
        <v>NA</v>
      </c>
      <c r="K28" s="38" t="str">
        <f>IFERROR(VLOOKUP(B28,ACOCommercial2022[],13,FALSE),"NA")</f>
        <v>NA</v>
      </c>
      <c r="L28" s="38" t="str">
        <f>IFERROR(VLOOKUP(B28,ACOCommercial2022[],14,FALSE),"NA")</f>
        <v>NA</v>
      </c>
      <c r="M28" s="38" t="str">
        <f>IFERROR(VLOOKUP(B28,ACOCommercial2022[],16,FALSE),"NA")</f>
        <v>NA</v>
      </c>
      <c r="N28" s="38" t="str">
        <f>IFERROR(VLOOKUP(B28,ACOCommercial2022[],17,FALSE),"NA")</f>
        <v>NA</v>
      </c>
      <c r="O28" s="38" t="str">
        <f>IFERROR(VLOOKUP(B28,ACOCommercial2022[],19,FALSE),"NA")</f>
        <v>NA</v>
      </c>
      <c r="P28" s="38" t="str">
        <f>IFERROR(VLOOKUP(B28,ACOCommercial2022[],20,FALSE),"NA")</f>
        <v>NA</v>
      </c>
      <c r="Q28" s="38" t="str">
        <f>IFERROR(VLOOKUP(B28,ACOCommercial2022[],22,FALSE),"NA")</f>
        <v>NA</v>
      </c>
      <c r="R28" s="38" t="str">
        <f>IFERROR(VLOOKUP(B28,ACOCommercial2022[],23,FALSE),"NA")</f>
        <v>NA</v>
      </c>
      <c r="S28" s="38" t="str">
        <f>IFERROR(VLOOKUP(B28,ACOCommercial2022[],25,FALSE),"NA")</f>
        <v>NA</v>
      </c>
      <c r="T28" s="38" t="str">
        <f>IFERROR(VLOOKUP(B28,ACOCommercial2022[],26,FALSE),"NA")</f>
        <v>NA</v>
      </c>
      <c r="U28" s="38" t="str">
        <f>IFERROR(VLOOKUP(B28,ACOCommercial2022[],28,FALSE),"NA")</f>
        <v>NA</v>
      </c>
      <c r="V28" s="38" t="str">
        <f>IFERROR(VLOOKUP(B28,ACOCommercial2022[],29,FALSE),"NA")</f>
        <v>NA</v>
      </c>
    </row>
    <row r="29" spans="2:22" x14ac:dyDescent="0.25">
      <c r="B29" s="39">
        <v>108</v>
      </c>
      <c r="C29" s="3" t="s">
        <v>34</v>
      </c>
      <c r="D29" s="3" t="s">
        <v>54</v>
      </c>
      <c r="E29" s="38" t="str">
        <f>IFERROR(VLOOKUP(B29,ACOCommercial2022[],4,FALSE),"NA")</f>
        <v>NA</v>
      </c>
      <c r="F29" s="38" t="str">
        <f>IFERROR(VLOOKUP(B29,ACOCommercial2022[],5,FALSE),"NA")</f>
        <v>NA</v>
      </c>
      <c r="G29" s="38" t="str">
        <f>IFERROR(VLOOKUP(B29,ACOCommercial2022[],7,FALSE),"NA")</f>
        <v>NA</v>
      </c>
      <c r="H29" s="38" t="str">
        <f>IFERROR(VLOOKUP(B29,ACOCommercial2022[],8,FALSE),"NA")</f>
        <v>NA</v>
      </c>
      <c r="I29" s="38" t="str">
        <f>IFERROR(VLOOKUP(B29,ACOCommercial2022[],10,FALSE),"NA")</f>
        <v>NA</v>
      </c>
      <c r="J29" s="38" t="str">
        <f>IFERROR(VLOOKUP(B29,ACOCommercial2022[],11,FALSE),"NA")</f>
        <v>NA</v>
      </c>
      <c r="K29" s="38" t="str">
        <f>IFERROR(VLOOKUP(B29,ACOCommercial2022[],13,FALSE),"NA")</f>
        <v>NA</v>
      </c>
      <c r="L29" s="38" t="str">
        <f>IFERROR(VLOOKUP(B29,ACOCommercial2022[],14,FALSE),"NA")</f>
        <v>NA</v>
      </c>
      <c r="M29" s="38" t="str">
        <f>IFERROR(VLOOKUP(B29,ACOCommercial2022[],16,FALSE),"NA")</f>
        <v>NA</v>
      </c>
      <c r="N29" s="38" t="str">
        <f>IFERROR(VLOOKUP(B29,ACOCommercial2022[],17,FALSE),"NA")</f>
        <v>NA</v>
      </c>
      <c r="O29" s="38" t="str">
        <f>IFERROR(VLOOKUP(B29,ACOCommercial2022[],19,FALSE),"NA")</f>
        <v>NA</v>
      </c>
      <c r="P29" s="38" t="str">
        <f>IFERROR(VLOOKUP(B29,ACOCommercial2022[],20,FALSE),"NA")</f>
        <v>NA</v>
      </c>
      <c r="Q29" s="38" t="str">
        <f>IFERROR(VLOOKUP(B29,ACOCommercial2022[],22,FALSE),"NA")</f>
        <v>NA</v>
      </c>
      <c r="R29" s="38" t="str">
        <f>IFERROR(VLOOKUP(B29,ACOCommercial2022[],23,FALSE),"NA")</f>
        <v>NA</v>
      </c>
      <c r="S29" s="38" t="str">
        <f>IFERROR(VLOOKUP(B29,ACOCommercial2022[],25,FALSE),"NA")</f>
        <v>NA</v>
      </c>
      <c r="T29" s="38" t="str">
        <f>IFERROR(VLOOKUP(B29,ACOCommercial2022[],26,FALSE),"NA")</f>
        <v>NA</v>
      </c>
      <c r="U29" s="38" t="str">
        <f>IFERROR(VLOOKUP(B29,ACOCommercial2022[],28,FALSE),"NA")</f>
        <v>NA</v>
      </c>
      <c r="V29" s="38" t="str">
        <f>IFERROR(VLOOKUP(B29,ACOCommercial2022[],29,FALSE),"NA")</f>
        <v>NA</v>
      </c>
    </row>
  </sheetData>
  <sheetProtection algorithmName="SHA-512" hashValue="NVyrApmdxR0JRuxDNXGvD2mpGxg3t33qw5YxgEzWjCO9OdMSzcuXjBY2MoLHoGzqVOdt6r3a1U6GUWhdPsliLA==" saltValue="heXBqXFjPdLXD81sFNpR5A==" spinCount="100000" sheet="1" objects="1" scenarios="1"/>
  <mergeCells count="17">
    <mergeCell ref="E19:V19"/>
    <mergeCell ref="E6:M6"/>
    <mergeCell ref="U20:V20"/>
    <mergeCell ref="I20:J20"/>
    <mergeCell ref="O20:P20"/>
    <mergeCell ref="M20:N20"/>
    <mergeCell ref="E20:F20"/>
    <mergeCell ref="Q20:R20"/>
    <mergeCell ref="G20:H20"/>
    <mergeCell ref="S20:T20"/>
    <mergeCell ref="K20:L20"/>
    <mergeCell ref="B6:B7"/>
    <mergeCell ref="C6:C7"/>
    <mergeCell ref="D6:D7"/>
    <mergeCell ref="B19:B21"/>
    <mergeCell ref="C19:C21"/>
    <mergeCell ref="D19:D21"/>
  </mergeCells>
  <conditionalFormatting sqref="E8:M15">
    <cfRule type="cellIs" dxfId="2" priority="10" operator="lessThan">
      <formula>0.4</formula>
    </cfRule>
  </conditionalFormatting>
  <conditionalFormatting sqref="E22:V29">
    <cfRule type="cellIs" dxfId="1" priority="6" operator="lessThan">
      <formula>30</formula>
    </cfRule>
    <cfRule type="cellIs" dxfId="0" priority="8" operator="lessThan">
      <formula>0.4</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9a8555-db37-4257-91ea-e6d336cdedf2" xsi:nil="true"/>
    <lcf76f155ced4ddcb4097134ff3c332f xmlns="3ca2d690-4b65-48b8-b367-984c1bbb45d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26CC1A160F2C4E953D5C17456E6333" ma:contentTypeVersion="15" ma:contentTypeDescription="Create a new document." ma:contentTypeScope="" ma:versionID="b159ab1173f9cf84aa90719a6a1ea8e2">
  <xsd:schema xmlns:xsd="http://www.w3.org/2001/XMLSchema" xmlns:xs="http://www.w3.org/2001/XMLSchema" xmlns:p="http://schemas.microsoft.com/office/2006/metadata/properties" xmlns:ns2="3ca2d690-4b65-48b8-b367-984c1bbb45de" xmlns:ns3="d29a8555-db37-4257-91ea-e6d336cdedf2" targetNamespace="http://schemas.microsoft.com/office/2006/metadata/properties" ma:root="true" ma:fieldsID="ff5b17957f08a6add341b66b7e216eef" ns2:_="" ns3:_="">
    <xsd:import namespace="3ca2d690-4b65-48b8-b367-984c1bbb45de"/>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2d690-4b65-48b8-b367-984c1bbb4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4c4022-8a08-492a-8fd9-63f32d90377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20fe0fe-7f6e-40d9-b998-99db2d565673}" ma:internalName="TaxCatchAll" ma:showField="CatchAllData" ma:web="d29a8555-db37-4257-91ea-e6d336cdedf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DDC61-2346-4601-8BF8-55191E74FCDB}">
  <ds:schemaRefs>
    <ds:schemaRef ds:uri="http://schemas.microsoft.com/office/2006/documentManagement/types"/>
    <ds:schemaRef ds:uri="http://purl.org/dc/elements/1.1/"/>
    <ds:schemaRef ds:uri="3ca2d690-4b65-48b8-b367-984c1bbb45de"/>
    <ds:schemaRef ds:uri="http://www.w3.org/XML/1998/namespace"/>
    <ds:schemaRef ds:uri="http://schemas.openxmlformats.org/package/2006/metadata/core-properties"/>
    <ds:schemaRef ds:uri="http://schemas.microsoft.com/office/infopath/2007/PartnerControls"/>
    <ds:schemaRef ds:uri="http://purl.org/dc/dcmitype/"/>
    <ds:schemaRef ds:uri="d29a8555-db37-4257-91ea-e6d336cdedf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78009DC-1E56-47DC-9070-22866A512AC4}"/>
</file>

<file path=customXml/itemProps3.xml><?xml version="1.0" encoding="utf-8"?>
<ds:datastoreItem xmlns:ds="http://schemas.openxmlformats.org/officeDocument/2006/customXml" ds:itemID="{2372A49E-AB77-47B7-8B70-EC8E9D7D7B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Reference Tables</vt:lpstr>
      <vt:lpstr>Commercial - 2022</vt:lpstr>
      <vt:lpstr>Mandatory Questions</vt:lpstr>
      <vt:lpstr>Validation by Market</vt:lpstr>
      <vt:lpstr>Validation by ACO</vt:lpstr>
      <vt:lpstr>Insurer_Org_ID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Flaherty</dc:creator>
  <cp:lastModifiedBy>Grace Flaherty</cp:lastModifiedBy>
  <dcterms:created xsi:type="dcterms:W3CDTF">2022-02-08T18:13:40Z</dcterms:created>
  <dcterms:modified xsi:type="dcterms:W3CDTF">2023-07-28T16:33:13Z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0x0101006026CC1A160F2C4E953D5C17456E6333</vt:lpwstr>
  </property>
  <property fmtid="{D5CDD505-2E9C-101B-9397-08002B2CF9AE}" pid="3" name="MediaServiceImageTags">
    <vt:lpwstr/>
  </property>
</Properties>
</file>