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tables/table17.xml" ContentType="application/vnd.openxmlformats-officedocument.spreadsheetml.table+xml"/>
  <Override PartName="/xl/drawings/drawing3.xml" ContentType="application/vnd.openxmlformats-officedocument.drawing+xml"/>
  <Override PartName="/xl/tables/table18.xml" ContentType="application/vnd.openxmlformats-officedocument.spreadsheetml.table+xml"/>
  <Override PartName="/xl/drawings/drawing4.xml" ContentType="application/vnd.openxmlformats-officedocument.drawing+xml"/>
  <Override PartName="/xl/tables/table19.xml" ContentType="application/vnd.openxmlformats-officedocument.spreadsheetml.table+xml"/>
  <Override PartName="/xl/drawings/drawing5.xml" ContentType="application/vnd.openxmlformats-officedocument.drawing+xml"/>
  <Override PartName="/xl/tables/table20.xml" ContentType="application/vnd.openxmlformats-officedocument.spreadsheetml.table+xml"/>
  <Override PartName="/xl/drawings/drawing6.xml" ContentType="application/vnd.openxmlformats-officedocument.drawing+xml"/>
  <Override PartName="/xl/tables/table21.xml" ContentType="application/vnd.openxmlformats-officedocument.spreadsheetml.table+xml"/>
  <Override PartName="/xl/drawings/drawing7.xml" ContentType="application/vnd.openxmlformats-officedocument.drawing+xml"/>
  <Override PartName="/xl/tables/table22.xml" ContentType="application/vnd.openxmlformats-officedocument.spreadsheetml.table+xml"/>
  <Override PartName="/xl/drawings/drawing8.xml" ContentType="application/vnd.openxmlformats-officedocument.drawing+xml"/>
  <Override PartName="/xl/tables/table23.xml" ContentType="application/vnd.openxmlformats-officedocument.spreadsheetml.table+xml"/>
  <Override PartName="/xl/tables/table24.xml" ContentType="application/vnd.openxmlformats-officedocument.spreadsheetml.table+xml"/>
  <Override PartName="/xl/drawings/drawing9.xml" ContentType="application/vnd.openxmlformats-officedocument.drawing+xml"/>
  <Override PartName="/xl/tables/table25.xml" ContentType="application/vnd.openxmlformats-officedocument.spreadsheetml.table+xml"/>
  <Override PartName="/xl/drawings/drawing10.xml" ContentType="application/vnd.openxmlformats-officedocument.drawing+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updateLinks="never" codeName="ThisWorkbook" defaultThemeVersion="124226"/>
  <mc:AlternateContent xmlns:mc="http://schemas.openxmlformats.org/markup-compatibility/2006">
    <mc:Choice Requires="x15">
      <x15ac:absPath xmlns:x15ac="http://schemas.microsoft.com/office/spreadsheetml/2010/11/ac" url="https://bailit.sharepoint.com/CGT/Shared Documents/Rhode Island/2021-2022/Submission Templates/Insurer Submission Template/"/>
    </mc:Choice>
  </mc:AlternateContent>
  <xr:revisionPtr revIDLastSave="161" documentId="8_{FCEB9443-11CC-4A32-AC16-4A6F4706C2D1}" xr6:coauthVersionLast="47" xr6:coauthVersionMax="47" xr10:uidLastSave="{A002CB20-4491-43AB-A649-B9D2F99FF0AC}"/>
  <workbookProtection workbookAlgorithmName="SHA-512" workbookHashValue="4qDxkmS656tmZJCsaPg3mVWomRCXGi2f+w/uBHvSOJyNHAIcKE4N2TJtResnOBH16dNjw3mUwOk/1oOqEjHJmQ==" workbookSaltValue="0SAToMRvLxiqHFIjLiNNKA==" workbookSpinCount="100000" lockStructure="1"/>
  <bookViews>
    <workbookView xWindow="-9570" yWindow="-21710" windowWidth="38620" windowHeight="21100" tabRatio="573" firstSheet="1" activeTab="1" xr2:uid="{81C2C2D6-9105-48EE-8D08-EC2618C2D156}"/>
  </bookViews>
  <sheets>
    <sheet name="Data Validation Backup" sheetId="9" state="hidden" r:id="rId1"/>
    <sheet name="Contents" sheetId="7" r:id="rId2"/>
    <sheet name="Reference Tables" sheetId="5" r:id="rId3"/>
    <sheet name="Definitions" sheetId="12" r:id="rId4"/>
    <sheet name="HD-TME - 2021" sheetId="3" r:id="rId5"/>
    <sheet name="HD-TME - 2022" sheetId="16" r:id="rId6"/>
    <sheet name="ACO_AE - 2021" sheetId="24" r:id="rId7"/>
    <sheet name="ACO_AE - 2022" sheetId="19" r:id="rId8"/>
    <sheet name="Rx Rebates - 2021" sheetId="17" r:id="rId9"/>
    <sheet name="Rx Rebates - 2022" sheetId="2" r:id="rId10"/>
    <sheet name="LOB Enrollment" sheetId="18" r:id="rId11"/>
    <sheet name="Standard Deviation - 2021" sheetId="13" r:id="rId12"/>
    <sheet name="Standard Deviation - 2022" sheetId="26" r:id="rId13"/>
    <sheet name="Age_Sex Factors - 2021" sheetId="25" r:id="rId14"/>
    <sheet name="Age_Sex Factors - 2022" sheetId="22" r:id="rId15"/>
    <sheet name="Mandatory Questions" sheetId="6" r:id="rId16"/>
    <sheet name="Validation by Market" sheetId="14" r:id="rId17"/>
    <sheet name="Validation by ACO_AE" sheetId="15" r:id="rId18"/>
    <sheet name="Data Validation" sheetId="11" r:id="rId19"/>
  </sheets>
  <externalReferences>
    <externalReference r:id="rId20"/>
  </externalReferences>
  <definedNames>
    <definedName name="_AMO_UniqueIdentifier" hidden="1">"'b1cc02ed-c984-42fb-b62a-511c8fbc4dd9'"</definedName>
    <definedName name="ACOAE_MMs">'Data Validation'!$AG$80:$AG$151</definedName>
    <definedName name="Checks">'Data Validation'!$B$4:$B$19</definedName>
    <definedName name="MMConsistencyICC">'Data Validation'!$67:$75</definedName>
    <definedName name="MMConsistencyMkt">'Data Validation'!$B$48:$I$64</definedName>
    <definedName name="ReasonablePMPMs">'Data Validation'!$B$169:$L$194</definedName>
    <definedName name="TruncSpendMMsbyICC">'Data Validation'!$B$78:$AD$151</definedName>
    <definedName name="TruncSpendSDbyMkt">'Data Validation'!$B$154:$X$166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57" i="11" l="1"/>
  <c r="F157" i="11" l="1"/>
  <c r="J70" i="11" l="1"/>
  <c r="H54" i="11" l="1"/>
  <c r="H63" i="11" l="1"/>
  <c r="D61" i="11" l="1"/>
  <c r="D52" i="11"/>
  <c r="J458" i="22" l="1"/>
  <c r="J457" i="22"/>
  <c r="J456" i="22"/>
  <c r="J455" i="22"/>
  <c r="J454" i="22"/>
  <c r="J453" i="22"/>
  <c r="J452" i="22"/>
  <c r="J451" i="22"/>
  <c r="J450" i="22"/>
  <c r="J449" i="22"/>
  <c r="J448" i="22"/>
  <c r="J447" i="22"/>
  <c r="J446" i="22"/>
  <c r="J445" i="22"/>
  <c r="J444" i="22"/>
  <c r="J443" i="22"/>
  <c r="J442" i="22"/>
  <c r="J441" i="22"/>
  <c r="J440" i="22"/>
  <c r="J439" i="22"/>
  <c r="J438" i="22"/>
  <c r="J437" i="22"/>
  <c r="J436" i="22"/>
  <c r="J435" i="22"/>
  <c r="J434" i="22"/>
  <c r="J433" i="22"/>
  <c r="J432" i="22"/>
  <c r="J431" i="22"/>
  <c r="J430" i="22"/>
  <c r="J429" i="22"/>
  <c r="J428" i="22"/>
  <c r="J427" i="22"/>
  <c r="J426" i="22"/>
  <c r="J425" i="22"/>
  <c r="J424" i="22"/>
  <c r="J423" i="22"/>
  <c r="J422" i="22"/>
  <c r="J421" i="22"/>
  <c r="J420" i="22"/>
  <c r="J419" i="22"/>
  <c r="J418" i="22"/>
  <c r="J417" i="22"/>
  <c r="J416" i="22"/>
  <c r="J415" i="22"/>
  <c r="J414" i="22"/>
  <c r="J413" i="22"/>
  <c r="J412" i="22"/>
  <c r="J411" i="22"/>
  <c r="J410" i="22"/>
  <c r="J409" i="22"/>
  <c r="J408" i="22"/>
  <c r="J407" i="22"/>
  <c r="J406" i="22"/>
  <c r="J405" i="22"/>
  <c r="J404" i="22"/>
  <c r="J403" i="22"/>
  <c r="J402" i="22"/>
  <c r="J401" i="22"/>
  <c r="J400" i="22"/>
  <c r="J399" i="22"/>
  <c r="J398" i="22"/>
  <c r="J397" i="22"/>
  <c r="J396" i="22"/>
  <c r="J395" i="22"/>
  <c r="J394" i="22"/>
  <c r="J393" i="22"/>
  <c r="J392" i="22"/>
  <c r="J391" i="22"/>
  <c r="J390" i="22"/>
  <c r="J389" i="22"/>
  <c r="J388" i="22"/>
  <c r="J387" i="22"/>
  <c r="J386" i="22"/>
  <c r="J385" i="22"/>
  <c r="J384" i="22"/>
  <c r="J383" i="22"/>
  <c r="J382" i="22"/>
  <c r="J381" i="22"/>
  <c r="J380" i="22"/>
  <c r="J379" i="22"/>
  <c r="J378" i="22"/>
  <c r="J377" i="22"/>
  <c r="J376" i="22"/>
  <c r="J375" i="22"/>
  <c r="J374" i="22"/>
  <c r="J373" i="22"/>
  <c r="J372" i="22"/>
  <c r="J371" i="22"/>
  <c r="J370" i="22"/>
  <c r="J369" i="22"/>
  <c r="J368" i="22"/>
  <c r="J367" i="22"/>
  <c r="J366" i="22"/>
  <c r="J365" i="22"/>
  <c r="J364" i="22"/>
  <c r="J363" i="22"/>
  <c r="J362" i="22"/>
  <c r="J361" i="22"/>
  <c r="J360" i="22"/>
  <c r="J359" i="22"/>
  <c r="J358" i="22"/>
  <c r="J357" i="22"/>
  <c r="J356" i="22"/>
  <c r="J355" i="22"/>
  <c r="J354" i="22"/>
  <c r="J353" i="22"/>
  <c r="J352" i="22"/>
  <c r="J351" i="22"/>
  <c r="J350" i="22"/>
  <c r="J349" i="22"/>
  <c r="J348" i="22"/>
  <c r="J347" i="22"/>
  <c r="J346" i="22"/>
  <c r="J345" i="22"/>
  <c r="J344" i="22"/>
  <c r="J343" i="22"/>
  <c r="J342" i="22"/>
  <c r="J341" i="22"/>
  <c r="J340" i="22"/>
  <c r="J339" i="22"/>
  <c r="J338" i="22"/>
  <c r="J337" i="22"/>
  <c r="J336" i="22"/>
  <c r="J335" i="22"/>
  <c r="J334" i="22"/>
  <c r="J333" i="22"/>
  <c r="J332" i="22"/>
  <c r="J331" i="22"/>
  <c r="J330" i="22"/>
  <c r="J329" i="22"/>
  <c r="J328" i="22"/>
  <c r="J327" i="22"/>
  <c r="J326" i="22"/>
  <c r="J325" i="22"/>
  <c r="J324" i="22"/>
  <c r="J323" i="22"/>
  <c r="J322" i="22"/>
  <c r="J321" i="22"/>
  <c r="J320" i="22"/>
  <c r="J319" i="22"/>
  <c r="J318" i="22"/>
  <c r="J317" i="22"/>
  <c r="J316" i="22"/>
  <c r="J315" i="22"/>
  <c r="J314" i="22"/>
  <c r="J313" i="22"/>
  <c r="J312" i="22"/>
  <c r="J311" i="22"/>
  <c r="J310" i="22"/>
  <c r="J309" i="22"/>
  <c r="J308" i="22"/>
  <c r="J307" i="22"/>
  <c r="J306" i="22"/>
  <c r="J305" i="22"/>
  <c r="J304" i="22"/>
  <c r="J303" i="22"/>
  <c r="J302" i="22"/>
  <c r="J301" i="22"/>
  <c r="J300" i="22"/>
  <c r="J299" i="22"/>
  <c r="J298" i="22"/>
  <c r="J297" i="22"/>
  <c r="J296" i="22"/>
  <c r="J295" i="22"/>
  <c r="J294" i="22"/>
  <c r="J293" i="22"/>
  <c r="J292" i="22"/>
  <c r="J291" i="22"/>
  <c r="J290" i="22"/>
  <c r="J289" i="22"/>
  <c r="J288" i="22"/>
  <c r="J287" i="22"/>
  <c r="J286" i="22"/>
  <c r="J285" i="22"/>
  <c r="J284" i="22"/>
  <c r="J283" i="22"/>
  <c r="J282" i="22"/>
  <c r="J281" i="22"/>
  <c r="J280" i="22"/>
  <c r="J279" i="22"/>
  <c r="J278" i="22"/>
  <c r="J277" i="22"/>
  <c r="J276" i="22"/>
  <c r="J275" i="22"/>
  <c r="J274" i="22"/>
  <c r="J273" i="22"/>
  <c r="J272" i="22"/>
  <c r="J271" i="22"/>
  <c r="J270" i="22"/>
  <c r="J269" i="22"/>
  <c r="J268" i="22"/>
  <c r="J267" i="22"/>
  <c r="J266" i="22"/>
  <c r="J265" i="22"/>
  <c r="J264" i="22"/>
  <c r="J263" i="22"/>
  <c r="J262" i="22"/>
  <c r="J261" i="22"/>
  <c r="J260" i="22"/>
  <c r="J259" i="22"/>
  <c r="J258" i="22"/>
  <c r="J257" i="22"/>
  <c r="J256" i="22"/>
  <c r="J255" i="22"/>
  <c r="J254" i="22"/>
  <c r="J253" i="22"/>
  <c r="J252" i="22"/>
  <c r="J251" i="22"/>
  <c r="J250" i="22"/>
  <c r="J249" i="22"/>
  <c r="J248" i="22"/>
  <c r="J247" i="22"/>
  <c r="J246" i="22"/>
  <c r="J245" i="22"/>
  <c r="J244" i="22"/>
  <c r="J243" i="22"/>
  <c r="J242" i="22"/>
  <c r="J241" i="22"/>
  <c r="J240" i="22"/>
  <c r="J239" i="22"/>
  <c r="J238" i="22"/>
  <c r="J237" i="22"/>
  <c r="J236" i="22"/>
  <c r="J235" i="22"/>
  <c r="J234" i="22"/>
  <c r="J233" i="22"/>
  <c r="J232" i="22"/>
  <c r="J231" i="22"/>
  <c r="J230" i="22"/>
  <c r="J229" i="22"/>
  <c r="J228" i="22"/>
  <c r="J227" i="22"/>
  <c r="J226" i="22"/>
  <c r="J225" i="22"/>
  <c r="J224" i="22"/>
  <c r="J223" i="22"/>
  <c r="J222" i="22"/>
  <c r="J221" i="22"/>
  <c r="J220" i="22"/>
  <c r="J219" i="22"/>
  <c r="J218" i="22"/>
  <c r="J217" i="22"/>
  <c r="J216" i="22"/>
  <c r="J215" i="22"/>
  <c r="J214" i="22"/>
  <c r="J213" i="22"/>
  <c r="J212" i="22"/>
  <c r="J211" i="22"/>
  <c r="J210" i="22"/>
  <c r="J209" i="22"/>
  <c r="J208" i="22"/>
  <c r="J207" i="22"/>
  <c r="J206" i="22"/>
  <c r="J205" i="22"/>
  <c r="J204" i="22"/>
  <c r="J203" i="22"/>
  <c r="J202" i="22"/>
  <c r="J201" i="22"/>
  <c r="J200" i="22"/>
  <c r="J199" i="22"/>
  <c r="J198" i="22"/>
  <c r="J197" i="22"/>
  <c r="J196" i="22"/>
  <c r="J195" i="22"/>
  <c r="J194" i="22"/>
  <c r="J193" i="22"/>
  <c r="J192" i="22"/>
  <c r="J191" i="22"/>
  <c r="J190" i="22"/>
  <c r="J189" i="22"/>
  <c r="J188" i="22"/>
  <c r="J187" i="22"/>
  <c r="J186" i="22"/>
  <c r="J185" i="22"/>
  <c r="J184" i="22"/>
  <c r="J183" i="22"/>
  <c r="J182" i="22"/>
  <c r="J181" i="22"/>
  <c r="J180" i="22"/>
  <c r="J179" i="22"/>
  <c r="J178" i="22"/>
  <c r="J177" i="22"/>
  <c r="J176" i="22"/>
  <c r="J175" i="22"/>
  <c r="J174" i="22"/>
  <c r="J173" i="22"/>
  <c r="J172" i="22"/>
  <c r="J171" i="22"/>
  <c r="J170" i="22"/>
  <c r="J169" i="22"/>
  <c r="J168" i="22"/>
  <c r="J167" i="22"/>
  <c r="J166" i="22"/>
  <c r="J165" i="22"/>
  <c r="J164" i="22"/>
  <c r="J163" i="22"/>
  <c r="J162" i="22"/>
  <c r="J161" i="22"/>
  <c r="J160" i="22"/>
  <c r="J159" i="22"/>
  <c r="J158" i="22"/>
  <c r="J157" i="22"/>
  <c r="J156" i="22"/>
  <c r="J155" i="22"/>
  <c r="J154" i="22"/>
  <c r="J153" i="22"/>
  <c r="J152" i="22"/>
  <c r="J151" i="22"/>
  <c r="J150" i="22"/>
  <c r="J149" i="22"/>
  <c r="J148" i="22"/>
  <c r="J147" i="22"/>
  <c r="J146" i="22"/>
  <c r="J145" i="22"/>
  <c r="J144" i="22"/>
  <c r="J143" i="22"/>
  <c r="J142" i="22"/>
  <c r="J141" i="22"/>
  <c r="J140" i="22"/>
  <c r="J139" i="22"/>
  <c r="J138" i="22"/>
  <c r="J137" i="22"/>
  <c r="J136" i="22"/>
  <c r="J135" i="22"/>
  <c r="J134" i="22"/>
  <c r="J133" i="22"/>
  <c r="J132" i="22"/>
  <c r="J131" i="22"/>
  <c r="J130" i="22"/>
  <c r="J129" i="22"/>
  <c r="J128" i="22"/>
  <c r="J127" i="22"/>
  <c r="J126" i="22"/>
  <c r="J125" i="22"/>
  <c r="J124" i="22"/>
  <c r="J123" i="22"/>
  <c r="J122" i="22"/>
  <c r="J121" i="22"/>
  <c r="J120" i="22"/>
  <c r="J119" i="22"/>
  <c r="J118" i="22"/>
  <c r="J117" i="22"/>
  <c r="J116" i="22"/>
  <c r="J115" i="22"/>
  <c r="J114" i="22"/>
  <c r="J113" i="22"/>
  <c r="J112" i="22"/>
  <c r="J111" i="22"/>
  <c r="J110" i="22"/>
  <c r="J109" i="22"/>
  <c r="J108" i="22"/>
  <c r="J107" i="22"/>
  <c r="J106" i="22"/>
  <c r="J105" i="22"/>
  <c r="J104" i="22"/>
  <c r="J103" i="22"/>
  <c r="J102" i="22"/>
  <c r="J101" i="22"/>
  <c r="J100" i="22"/>
  <c r="J99" i="22"/>
  <c r="J98" i="22"/>
  <c r="J97" i="22"/>
  <c r="J96" i="22"/>
  <c r="J95" i="22"/>
  <c r="J94" i="22"/>
  <c r="J93" i="22"/>
  <c r="J92" i="22"/>
  <c r="J91" i="22"/>
  <c r="J90" i="22"/>
  <c r="J89" i="22"/>
  <c r="J88" i="22"/>
  <c r="J87" i="22"/>
  <c r="J86" i="22"/>
  <c r="J85" i="22"/>
  <c r="J84" i="22"/>
  <c r="J83" i="22"/>
  <c r="J82" i="22"/>
  <c r="J81" i="22"/>
  <c r="J80" i="22"/>
  <c r="J79" i="22"/>
  <c r="J78" i="22"/>
  <c r="J77" i="22"/>
  <c r="J76" i="22"/>
  <c r="J75" i="22"/>
  <c r="J74" i="22"/>
  <c r="J73" i="22"/>
  <c r="J72" i="22"/>
  <c r="J71" i="22"/>
  <c r="J70" i="22"/>
  <c r="J69" i="22"/>
  <c r="J68" i="22"/>
  <c r="J67" i="22"/>
  <c r="J66" i="22"/>
  <c r="J65" i="22"/>
  <c r="J64" i="22"/>
  <c r="J63" i="22"/>
  <c r="J62" i="22"/>
  <c r="J61" i="22"/>
  <c r="J60" i="22"/>
  <c r="J59" i="22"/>
  <c r="J58" i="22"/>
  <c r="J57" i="22"/>
  <c r="J56" i="22"/>
  <c r="J55" i="22"/>
  <c r="J54" i="22"/>
  <c r="J53" i="22"/>
  <c r="J52" i="22"/>
  <c r="J51" i="22"/>
  <c r="J50" i="22"/>
  <c r="J49" i="22"/>
  <c r="J48" i="22"/>
  <c r="J47" i="22"/>
  <c r="J46" i="22"/>
  <c r="J45" i="22"/>
  <c r="J44" i="22"/>
  <c r="J43" i="22"/>
  <c r="J42" i="22"/>
  <c r="J41" i="22"/>
  <c r="J40" i="22"/>
  <c r="J39" i="22"/>
  <c r="J38" i="22"/>
  <c r="J37" i="22"/>
  <c r="J36" i="22"/>
  <c r="J35" i="22"/>
  <c r="J34" i="22"/>
  <c r="J33" i="22"/>
  <c r="J32" i="22"/>
  <c r="J31" i="22"/>
  <c r="J30" i="22"/>
  <c r="J29" i="22"/>
  <c r="J28" i="22"/>
  <c r="J27" i="22"/>
  <c r="J26" i="22"/>
  <c r="J25" i="22"/>
  <c r="J24" i="22"/>
  <c r="J23" i="22"/>
  <c r="J22" i="22"/>
  <c r="J21" i="22"/>
  <c r="J20" i="22"/>
  <c r="J19" i="22"/>
  <c r="J18" i="22"/>
  <c r="J17" i="22"/>
  <c r="J16" i="22"/>
  <c r="J15" i="22"/>
  <c r="J14" i="22"/>
  <c r="J13" i="22"/>
  <c r="J12" i="22"/>
  <c r="J11" i="22"/>
  <c r="J10" i="22"/>
  <c r="J9" i="22"/>
  <c r="J457" i="25"/>
  <c r="J456" i="25"/>
  <c r="J455" i="25"/>
  <c r="J454" i="25"/>
  <c r="J453" i="25"/>
  <c r="J452" i="25"/>
  <c r="J451" i="25"/>
  <c r="J450" i="25"/>
  <c r="J449" i="25"/>
  <c r="J448" i="25"/>
  <c r="J447" i="25"/>
  <c r="J446" i="25"/>
  <c r="J445" i="25"/>
  <c r="J444" i="25"/>
  <c r="J443" i="25"/>
  <c r="J442" i="25"/>
  <c r="J441" i="25"/>
  <c r="J440" i="25"/>
  <c r="J439" i="25"/>
  <c r="J438" i="25"/>
  <c r="J437" i="25"/>
  <c r="J436" i="25"/>
  <c r="J435" i="25"/>
  <c r="J434" i="25"/>
  <c r="J433" i="25"/>
  <c r="J432" i="25"/>
  <c r="J431" i="25"/>
  <c r="J430" i="25"/>
  <c r="J429" i="25"/>
  <c r="J428" i="25"/>
  <c r="J427" i="25"/>
  <c r="J426" i="25"/>
  <c r="J425" i="25"/>
  <c r="J424" i="25"/>
  <c r="J423" i="25"/>
  <c r="J422" i="25"/>
  <c r="J421" i="25"/>
  <c r="J420" i="25"/>
  <c r="J419" i="25"/>
  <c r="J418" i="25"/>
  <c r="J417" i="25"/>
  <c r="J416" i="25"/>
  <c r="J415" i="25"/>
  <c r="J414" i="25"/>
  <c r="J413" i="25"/>
  <c r="J412" i="25"/>
  <c r="J411" i="25"/>
  <c r="J410" i="25"/>
  <c r="J409" i="25"/>
  <c r="J408" i="25"/>
  <c r="J407" i="25"/>
  <c r="J406" i="25"/>
  <c r="J405" i="25"/>
  <c r="J404" i="25"/>
  <c r="J403" i="25"/>
  <c r="J402" i="25"/>
  <c r="J401" i="25"/>
  <c r="J400" i="25"/>
  <c r="J399" i="25"/>
  <c r="J398" i="25"/>
  <c r="J397" i="25"/>
  <c r="J396" i="25"/>
  <c r="J395" i="25"/>
  <c r="J394" i="25"/>
  <c r="J393" i="25"/>
  <c r="J392" i="25"/>
  <c r="J391" i="25"/>
  <c r="J390" i="25"/>
  <c r="J389" i="25"/>
  <c r="J388" i="25"/>
  <c r="J387" i="25"/>
  <c r="J386" i="25"/>
  <c r="J385" i="25"/>
  <c r="J384" i="25"/>
  <c r="J383" i="25"/>
  <c r="J382" i="25"/>
  <c r="J381" i="25"/>
  <c r="J380" i="25"/>
  <c r="J379" i="25"/>
  <c r="J378" i="25"/>
  <c r="J377" i="25"/>
  <c r="J376" i="25"/>
  <c r="J375" i="25"/>
  <c r="J374" i="25"/>
  <c r="J373" i="25"/>
  <c r="J372" i="25"/>
  <c r="J371" i="25"/>
  <c r="J370" i="25"/>
  <c r="J369" i="25"/>
  <c r="J368" i="25"/>
  <c r="J367" i="25"/>
  <c r="J366" i="25"/>
  <c r="J365" i="25"/>
  <c r="J364" i="25"/>
  <c r="J363" i="25"/>
  <c r="J362" i="25"/>
  <c r="J361" i="25"/>
  <c r="J360" i="25"/>
  <c r="J359" i="25"/>
  <c r="J358" i="25"/>
  <c r="J357" i="25"/>
  <c r="J356" i="25"/>
  <c r="J355" i="25"/>
  <c r="J354" i="25"/>
  <c r="J353" i="25"/>
  <c r="J352" i="25"/>
  <c r="J351" i="25"/>
  <c r="J350" i="25"/>
  <c r="J349" i="25"/>
  <c r="J348" i="25"/>
  <c r="J347" i="25"/>
  <c r="J346" i="25"/>
  <c r="J345" i="25"/>
  <c r="J344" i="25"/>
  <c r="J343" i="25"/>
  <c r="J342" i="25"/>
  <c r="J341" i="25"/>
  <c r="J340" i="25"/>
  <c r="J339" i="25"/>
  <c r="J338" i="25"/>
  <c r="J337" i="25"/>
  <c r="J336" i="25"/>
  <c r="J335" i="25"/>
  <c r="J334" i="25"/>
  <c r="J333" i="25"/>
  <c r="J332" i="25"/>
  <c r="J331" i="25"/>
  <c r="J330" i="25"/>
  <c r="J329" i="25"/>
  <c r="J328" i="25"/>
  <c r="J327" i="25"/>
  <c r="J326" i="25"/>
  <c r="J325" i="25"/>
  <c r="J324" i="25"/>
  <c r="J323" i="25"/>
  <c r="J322" i="25"/>
  <c r="J321" i="25"/>
  <c r="J320" i="25"/>
  <c r="J319" i="25"/>
  <c r="J318" i="25"/>
  <c r="J317" i="25"/>
  <c r="J316" i="25"/>
  <c r="J315" i="25"/>
  <c r="J314" i="25"/>
  <c r="J313" i="25"/>
  <c r="J312" i="25"/>
  <c r="J311" i="25"/>
  <c r="J310" i="25"/>
  <c r="J309" i="25"/>
  <c r="J308" i="25"/>
  <c r="J307" i="25"/>
  <c r="J306" i="25"/>
  <c r="J305" i="25"/>
  <c r="J304" i="25"/>
  <c r="J303" i="25"/>
  <c r="J302" i="25"/>
  <c r="J301" i="25"/>
  <c r="J300" i="25"/>
  <c r="J299" i="25"/>
  <c r="J298" i="25"/>
  <c r="J297" i="25"/>
  <c r="J296" i="25"/>
  <c r="J295" i="25"/>
  <c r="J294" i="25"/>
  <c r="J293" i="25"/>
  <c r="J292" i="25"/>
  <c r="J291" i="25"/>
  <c r="J290" i="25"/>
  <c r="J289" i="25"/>
  <c r="J288" i="25"/>
  <c r="J287" i="25"/>
  <c r="J286" i="25"/>
  <c r="J285" i="25"/>
  <c r="J284" i="25"/>
  <c r="J283" i="25"/>
  <c r="J282" i="25"/>
  <c r="J281" i="25"/>
  <c r="J280" i="25"/>
  <c r="J279" i="25"/>
  <c r="J278" i="25"/>
  <c r="J277" i="25"/>
  <c r="J276" i="25"/>
  <c r="J275" i="25"/>
  <c r="J274" i="25"/>
  <c r="J273" i="25"/>
  <c r="J272" i="25"/>
  <c r="J271" i="25"/>
  <c r="J270" i="25"/>
  <c r="J269" i="25"/>
  <c r="J268" i="25"/>
  <c r="J267" i="25"/>
  <c r="J266" i="25"/>
  <c r="J265" i="25"/>
  <c r="J264" i="25"/>
  <c r="J263" i="25"/>
  <c r="J262" i="25"/>
  <c r="J261" i="25"/>
  <c r="J260" i="25"/>
  <c r="J259" i="25"/>
  <c r="J258" i="25"/>
  <c r="J257" i="25"/>
  <c r="J256" i="25"/>
  <c r="J255" i="25"/>
  <c r="J254" i="25"/>
  <c r="J253" i="25"/>
  <c r="J252" i="25"/>
  <c r="J251" i="25"/>
  <c r="J250" i="25"/>
  <c r="J249" i="25"/>
  <c r="J248" i="25"/>
  <c r="J247" i="25"/>
  <c r="J246" i="25"/>
  <c r="J245" i="25"/>
  <c r="J244" i="25"/>
  <c r="J243" i="25"/>
  <c r="J242" i="25"/>
  <c r="J241" i="25"/>
  <c r="J240" i="25"/>
  <c r="J239" i="25"/>
  <c r="J238" i="25"/>
  <c r="J237" i="25"/>
  <c r="J236" i="25"/>
  <c r="J235" i="25"/>
  <c r="J234" i="25"/>
  <c r="J233" i="25"/>
  <c r="J232" i="25"/>
  <c r="J231" i="25"/>
  <c r="J230" i="25"/>
  <c r="J229" i="25"/>
  <c r="J228" i="25"/>
  <c r="J227" i="25"/>
  <c r="J226" i="25"/>
  <c r="J225" i="25"/>
  <c r="J224" i="25"/>
  <c r="J223" i="25"/>
  <c r="J222" i="25"/>
  <c r="J221" i="25"/>
  <c r="J220" i="25"/>
  <c r="J219" i="25"/>
  <c r="J218" i="25"/>
  <c r="J217" i="25"/>
  <c r="J216" i="25"/>
  <c r="J215" i="25"/>
  <c r="J214" i="25"/>
  <c r="J213" i="25"/>
  <c r="J212" i="25"/>
  <c r="J211" i="25"/>
  <c r="J210" i="25"/>
  <c r="J209" i="25"/>
  <c r="J208" i="25"/>
  <c r="J207" i="25"/>
  <c r="J206" i="25"/>
  <c r="J205" i="25"/>
  <c r="J204" i="25"/>
  <c r="J203" i="25"/>
  <c r="J202" i="25"/>
  <c r="J201" i="25"/>
  <c r="J200" i="25"/>
  <c r="J199" i="25"/>
  <c r="J198" i="25"/>
  <c r="J197" i="25"/>
  <c r="J196" i="25"/>
  <c r="J195" i="25"/>
  <c r="J194" i="25"/>
  <c r="J193" i="25"/>
  <c r="J192" i="25"/>
  <c r="J191" i="25"/>
  <c r="J190" i="25"/>
  <c r="J189" i="25"/>
  <c r="J188" i="25"/>
  <c r="J187" i="25"/>
  <c r="J186" i="25"/>
  <c r="J185" i="25"/>
  <c r="J184" i="25"/>
  <c r="J183" i="25"/>
  <c r="J182" i="25"/>
  <c r="J181" i="25"/>
  <c r="J180" i="25"/>
  <c r="J179" i="25"/>
  <c r="J178" i="25"/>
  <c r="J177" i="25"/>
  <c r="J176" i="25"/>
  <c r="J175" i="25"/>
  <c r="J174" i="25"/>
  <c r="J173" i="25"/>
  <c r="J172" i="25"/>
  <c r="J171" i="25"/>
  <c r="J170" i="25"/>
  <c r="J169" i="25"/>
  <c r="J168" i="25"/>
  <c r="J167" i="25"/>
  <c r="J166" i="25"/>
  <c r="J165" i="25"/>
  <c r="J164" i="25"/>
  <c r="J163" i="25"/>
  <c r="J162" i="25"/>
  <c r="J161" i="25"/>
  <c r="J160" i="25"/>
  <c r="J159" i="25"/>
  <c r="J158" i="25"/>
  <c r="J157" i="25"/>
  <c r="J156" i="25"/>
  <c r="J155" i="25"/>
  <c r="J154" i="25"/>
  <c r="J153" i="25"/>
  <c r="J152" i="25"/>
  <c r="J151" i="25"/>
  <c r="J150" i="25"/>
  <c r="J149" i="25"/>
  <c r="J148" i="25"/>
  <c r="J147" i="25"/>
  <c r="J146" i="25"/>
  <c r="J145" i="25"/>
  <c r="J144" i="25"/>
  <c r="J143" i="25"/>
  <c r="J142" i="25"/>
  <c r="J141" i="25"/>
  <c r="J140" i="25"/>
  <c r="J139" i="25"/>
  <c r="J138" i="25"/>
  <c r="J137" i="25"/>
  <c r="J136" i="25"/>
  <c r="J135" i="25"/>
  <c r="J134" i="25"/>
  <c r="J133" i="25"/>
  <c r="J132" i="25"/>
  <c r="J131" i="25"/>
  <c r="J130" i="25"/>
  <c r="J129" i="25"/>
  <c r="J128" i="25"/>
  <c r="J127" i="25"/>
  <c r="J126" i="25"/>
  <c r="J125" i="25"/>
  <c r="J124" i="25"/>
  <c r="J123" i="25"/>
  <c r="J122" i="25"/>
  <c r="J121" i="25"/>
  <c r="J120" i="25"/>
  <c r="J119" i="25"/>
  <c r="J118" i="25"/>
  <c r="J117" i="25"/>
  <c r="J116" i="25"/>
  <c r="J115" i="25"/>
  <c r="J114" i="25"/>
  <c r="J113" i="25"/>
  <c r="J112" i="25"/>
  <c r="J111" i="25"/>
  <c r="J110" i="25"/>
  <c r="J109" i="25"/>
  <c r="J108" i="25"/>
  <c r="J107" i="25"/>
  <c r="J106" i="25"/>
  <c r="J105" i="25"/>
  <c r="J104" i="25"/>
  <c r="J103" i="25"/>
  <c r="J102" i="25"/>
  <c r="J101" i="25"/>
  <c r="J100" i="25"/>
  <c r="J99" i="25"/>
  <c r="J98" i="25"/>
  <c r="J97" i="25"/>
  <c r="J96" i="25"/>
  <c r="J95" i="25"/>
  <c r="J94" i="25"/>
  <c r="J93" i="25"/>
  <c r="J92" i="25"/>
  <c r="J91" i="25"/>
  <c r="J90" i="25"/>
  <c r="J89" i="25"/>
  <c r="J88" i="25"/>
  <c r="J87" i="25"/>
  <c r="J86" i="25"/>
  <c r="J85" i="25"/>
  <c r="J84" i="25"/>
  <c r="J83" i="25"/>
  <c r="J82" i="25"/>
  <c r="J81" i="25"/>
  <c r="J80" i="25"/>
  <c r="J79" i="25"/>
  <c r="J78" i="25"/>
  <c r="J77" i="25"/>
  <c r="J76" i="25"/>
  <c r="J75" i="25"/>
  <c r="J74" i="25"/>
  <c r="J73" i="25"/>
  <c r="J72" i="25"/>
  <c r="J71" i="25"/>
  <c r="J70" i="25"/>
  <c r="J69" i="25"/>
  <c r="J68" i="25"/>
  <c r="J67" i="25"/>
  <c r="J66" i="25"/>
  <c r="J65" i="25"/>
  <c r="J64" i="25"/>
  <c r="J63" i="25"/>
  <c r="J62" i="25"/>
  <c r="J61" i="25"/>
  <c r="J60" i="25"/>
  <c r="J59" i="25"/>
  <c r="J58" i="25"/>
  <c r="J57" i="25"/>
  <c r="J56" i="25"/>
  <c r="J55" i="25"/>
  <c r="J54" i="25"/>
  <c r="J53" i="25"/>
  <c r="J52" i="25"/>
  <c r="J51" i="25"/>
  <c r="J50" i="25"/>
  <c r="J49" i="25"/>
  <c r="J48" i="25"/>
  <c r="J47" i="25"/>
  <c r="J46" i="25"/>
  <c r="J45" i="25"/>
  <c r="J44" i="25"/>
  <c r="J43" i="25"/>
  <c r="J42" i="25"/>
  <c r="J41" i="25"/>
  <c r="J40" i="25"/>
  <c r="J39" i="25"/>
  <c r="J38" i="25"/>
  <c r="J37" i="25"/>
  <c r="J36" i="25"/>
  <c r="J35" i="25"/>
  <c r="J34" i="25"/>
  <c r="J33" i="25"/>
  <c r="J32" i="25"/>
  <c r="J31" i="25"/>
  <c r="J30" i="25"/>
  <c r="J29" i="25"/>
  <c r="J28" i="25"/>
  <c r="J27" i="25"/>
  <c r="J26" i="25"/>
  <c r="J25" i="25"/>
  <c r="J24" i="25"/>
  <c r="J23" i="25"/>
  <c r="J22" i="25"/>
  <c r="J21" i="25"/>
  <c r="J20" i="25"/>
  <c r="J19" i="25"/>
  <c r="J18" i="25"/>
  <c r="J17" i="25"/>
  <c r="J16" i="25"/>
  <c r="J15" i="25"/>
  <c r="J14" i="25"/>
  <c r="J13" i="25"/>
  <c r="J12" i="25"/>
  <c r="J11" i="25"/>
  <c r="J10" i="25"/>
  <c r="J9" i="25"/>
  <c r="AB134" i="19"/>
  <c r="AB133" i="19"/>
  <c r="AB132" i="19"/>
  <c r="AB131" i="19"/>
  <c r="AB130" i="19"/>
  <c r="AB129" i="19"/>
  <c r="AB128" i="19"/>
  <c r="AB127" i="19"/>
  <c r="AB126" i="19"/>
  <c r="AB125" i="19"/>
  <c r="AB124" i="19"/>
  <c r="AB123" i="19"/>
  <c r="AB122" i="19"/>
  <c r="AB121" i="19"/>
  <c r="AB120" i="19"/>
  <c r="AB119" i="19"/>
  <c r="AB118" i="19"/>
  <c r="AB117" i="19"/>
  <c r="AB116" i="19"/>
  <c r="AB115" i="19"/>
  <c r="AB114" i="19"/>
  <c r="AB113" i="19"/>
  <c r="AB112" i="19"/>
  <c r="AB111" i="19"/>
  <c r="AB110" i="19"/>
  <c r="AB109" i="19"/>
  <c r="AB108" i="19"/>
  <c r="AB107" i="19"/>
  <c r="AB106" i="19"/>
  <c r="AB105" i="19"/>
  <c r="AB104" i="19"/>
  <c r="AB103" i="19"/>
  <c r="AB102" i="19"/>
  <c r="AB101" i="19"/>
  <c r="AB100" i="19"/>
  <c r="AB99" i="19"/>
  <c r="AB98" i="19"/>
  <c r="AB97" i="19"/>
  <c r="AB96" i="19"/>
  <c r="AB95" i="19"/>
  <c r="AB94" i="19"/>
  <c r="AB93" i="19"/>
  <c r="AB92" i="19"/>
  <c r="AB91" i="19"/>
  <c r="AB90" i="19"/>
  <c r="AB89" i="19"/>
  <c r="AB88" i="19"/>
  <c r="AB87" i="19"/>
  <c r="AB86" i="19"/>
  <c r="AB85" i="19"/>
  <c r="AB84" i="19"/>
  <c r="AB83" i="19"/>
  <c r="AB82" i="19"/>
  <c r="AB81" i="19"/>
  <c r="AB80" i="19"/>
  <c r="AB79" i="19"/>
  <c r="AB78" i="19"/>
  <c r="AB77" i="19"/>
  <c r="AB76" i="19"/>
  <c r="AB75" i="19"/>
  <c r="AB74" i="19"/>
  <c r="AB73" i="19"/>
  <c r="AB72" i="19"/>
  <c r="AB71" i="19"/>
  <c r="AB70" i="19"/>
  <c r="AB69" i="19"/>
  <c r="AB68" i="19"/>
  <c r="AB67" i="19"/>
  <c r="AB66" i="19"/>
  <c r="AB65" i="19"/>
  <c r="AB64" i="19"/>
  <c r="AB63" i="19"/>
  <c r="AB62" i="19"/>
  <c r="AB61" i="19"/>
  <c r="AB60" i="19"/>
  <c r="AB59" i="19"/>
  <c r="AB58" i="19"/>
  <c r="AB57" i="19"/>
  <c r="AB56" i="19"/>
  <c r="AB55" i="19"/>
  <c r="AB54" i="19"/>
  <c r="AB53" i="19"/>
  <c r="AB52" i="19"/>
  <c r="AB51" i="19"/>
  <c r="AB50" i="19"/>
  <c r="AB49" i="19"/>
  <c r="AB48" i="19"/>
  <c r="AB47" i="19"/>
  <c r="AB46" i="19"/>
  <c r="AB45" i="19"/>
  <c r="AB44" i="19"/>
  <c r="AB43" i="19"/>
  <c r="AB42" i="19"/>
  <c r="AB41" i="19"/>
  <c r="AB40" i="19"/>
  <c r="AB39" i="19"/>
  <c r="AB38" i="19"/>
  <c r="AB37" i="19"/>
  <c r="AB36" i="19"/>
  <c r="AB35" i="19"/>
  <c r="AB34" i="19"/>
  <c r="AB33" i="19"/>
  <c r="AB32" i="19"/>
  <c r="AB31" i="19"/>
  <c r="AB30" i="19"/>
  <c r="AB29" i="19"/>
  <c r="AB28" i="19"/>
  <c r="AB27" i="19"/>
  <c r="AB26" i="19"/>
  <c r="AB25" i="19"/>
  <c r="AB24" i="19"/>
  <c r="AB23" i="19"/>
  <c r="AB22" i="19"/>
  <c r="AB21" i="19"/>
  <c r="AB20" i="19"/>
  <c r="AB19" i="19"/>
  <c r="AB18" i="19"/>
  <c r="AB17" i="19"/>
  <c r="AB16" i="19"/>
  <c r="AB15" i="19"/>
  <c r="AB14" i="19"/>
  <c r="AB13" i="19"/>
  <c r="AB12" i="19"/>
  <c r="AB11" i="19"/>
  <c r="AB134" i="24" l="1"/>
  <c r="AB133" i="24"/>
  <c r="AB132" i="24"/>
  <c r="AB131" i="24"/>
  <c r="AB130" i="24"/>
  <c r="AB129" i="24"/>
  <c r="AB128" i="24"/>
  <c r="AB127" i="24"/>
  <c r="AB126" i="24"/>
  <c r="AB125" i="24"/>
  <c r="AB124" i="24"/>
  <c r="AB123" i="24"/>
  <c r="AB122" i="24"/>
  <c r="AB121" i="24"/>
  <c r="AB120" i="24"/>
  <c r="AB119" i="24"/>
  <c r="AB118" i="24"/>
  <c r="AB117" i="24"/>
  <c r="AB116" i="24"/>
  <c r="AB115" i="24"/>
  <c r="AB114" i="24"/>
  <c r="AB113" i="24"/>
  <c r="AB112" i="24"/>
  <c r="AB111" i="24"/>
  <c r="AB110" i="24"/>
  <c r="AB109" i="24"/>
  <c r="AB108" i="24"/>
  <c r="AB107" i="24"/>
  <c r="AB106" i="24"/>
  <c r="AB105" i="24"/>
  <c r="AB104" i="24"/>
  <c r="AB103" i="24"/>
  <c r="AB102" i="24"/>
  <c r="AB101" i="24"/>
  <c r="AB100" i="24"/>
  <c r="AB99" i="24"/>
  <c r="AB98" i="24"/>
  <c r="AB97" i="24"/>
  <c r="AB96" i="24"/>
  <c r="AB95" i="24"/>
  <c r="AB94" i="24"/>
  <c r="AB93" i="24"/>
  <c r="AB92" i="24"/>
  <c r="AB91" i="24"/>
  <c r="AB90" i="24"/>
  <c r="AB89" i="24"/>
  <c r="AB88" i="24"/>
  <c r="AB87" i="24"/>
  <c r="AB86" i="24"/>
  <c r="AB85" i="24"/>
  <c r="AB84" i="24"/>
  <c r="AB83" i="24"/>
  <c r="AB82" i="24"/>
  <c r="AB81" i="24"/>
  <c r="AB80" i="24"/>
  <c r="AB79" i="24"/>
  <c r="AB78" i="24"/>
  <c r="AB77" i="24"/>
  <c r="AB76" i="24"/>
  <c r="AB75" i="24"/>
  <c r="AB74" i="24"/>
  <c r="AB73" i="24"/>
  <c r="AB72" i="24"/>
  <c r="AB71" i="24"/>
  <c r="AB70" i="24"/>
  <c r="AB69" i="24"/>
  <c r="AB68" i="24"/>
  <c r="AB67" i="24"/>
  <c r="AB66" i="24"/>
  <c r="AB65" i="24"/>
  <c r="AB64" i="24"/>
  <c r="AB63" i="24"/>
  <c r="AB62" i="24"/>
  <c r="AB61" i="24"/>
  <c r="AB60" i="24"/>
  <c r="AB59" i="24"/>
  <c r="AB58" i="24"/>
  <c r="AB57" i="24"/>
  <c r="AB56" i="24"/>
  <c r="AB55" i="24"/>
  <c r="AB54" i="24"/>
  <c r="AB53" i="24"/>
  <c r="AB52" i="24"/>
  <c r="AB51" i="24"/>
  <c r="AB50" i="24"/>
  <c r="AB49" i="24"/>
  <c r="AB48" i="24"/>
  <c r="AB47" i="24"/>
  <c r="AB46" i="24"/>
  <c r="AB45" i="24"/>
  <c r="AB44" i="24"/>
  <c r="AB43" i="24"/>
  <c r="AB42" i="24"/>
  <c r="AB41" i="24"/>
  <c r="AB40" i="24"/>
  <c r="AB39" i="24"/>
  <c r="AB38" i="24"/>
  <c r="AB37" i="24"/>
  <c r="AB36" i="24"/>
  <c r="AB35" i="24"/>
  <c r="AB34" i="24"/>
  <c r="AB33" i="24"/>
  <c r="AB32" i="24"/>
  <c r="AB31" i="24"/>
  <c r="AB30" i="24"/>
  <c r="AB29" i="24"/>
  <c r="AB28" i="24"/>
  <c r="AB27" i="24"/>
  <c r="AB26" i="24"/>
  <c r="AB25" i="24"/>
  <c r="AB24" i="24"/>
  <c r="AB23" i="24"/>
  <c r="AB22" i="24"/>
  <c r="AB21" i="24"/>
  <c r="AB20" i="24"/>
  <c r="AB19" i="24"/>
  <c r="AB18" i="24"/>
  <c r="AB17" i="24"/>
  <c r="AB16" i="24"/>
  <c r="AB15" i="24"/>
  <c r="AB14" i="24"/>
  <c r="AB13" i="24"/>
  <c r="AB12" i="24"/>
  <c r="AB11" i="24"/>
  <c r="E264" i="11" l="1"/>
  <c r="F264" i="11" s="1"/>
  <c r="C264" i="11"/>
  <c r="D264" i="11" s="1"/>
  <c r="E227" i="11"/>
  <c r="E225" i="11"/>
  <c r="E223" i="11"/>
  <c r="E221" i="11"/>
  <c r="E219" i="11"/>
  <c r="E217" i="11"/>
  <c r="I207" i="11" l="1"/>
  <c r="I206" i="11"/>
  <c r="I205" i="11"/>
  <c r="I204" i="11"/>
  <c r="I203" i="11"/>
  <c r="E208" i="11" s="1" a="1"/>
  <c r="E208" i="11" s="1"/>
  <c r="I202" i="11"/>
  <c r="E207" i="11" s="1" a="1"/>
  <c r="E207" i="11" s="1"/>
  <c r="I201" i="11"/>
  <c r="E206" i="11" s="1" a="1"/>
  <c r="E206" i="11" s="1"/>
  <c r="I200" i="11"/>
  <c r="E205" i="11" s="1" a="1"/>
  <c r="E205" i="11" s="1"/>
  <c r="H207" i="11"/>
  <c r="H206" i="11"/>
  <c r="H205" i="11"/>
  <c r="H204" i="11"/>
  <c r="H203" i="11"/>
  <c r="D208" i="11" s="1" a="1"/>
  <c r="D208" i="11" s="1"/>
  <c r="H202" i="11"/>
  <c r="D207" i="11" s="1" a="1"/>
  <c r="D207" i="11" s="1"/>
  <c r="H201" i="11"/>
  <c r="D206" i="11" s="1" a="1"/>
  <c r="D206" i="11" s="1"/>
  <c r="H200" i="11"/>
  <c r="D205" i="11" s="1" a="1"/>
  <c r="D205" i="11" s="1"/>
  <c r="D209" i="11" l="1" a="1"/>
  <c r="D209" i="11" s="1"/>
  <c r="E209" i="11" a="1"/>
  <c r="E209" i="11" s="1"/>
  <c r="D210" i="11" a="1"/>
  <c r="D210" i="11" s="1"/>
  <c r="E210" i="11" a="1"/>
  <c r="E210" i="11" s="1"/>
  <c r="L177" i="11" l="1"/>
  <c r="K177" i="11"/>
  <c r="J177" i="11"/>
  <c r="I177" i="11"/>
  <c r="H177" i="11"/>
  <c r="G177" i="11"/>
  <c r="F177" i="11"/>
  <c r="E177" i="11"/>
  <c r="D177" i="11"/>
  <c r="C177" i="11"/>
  <c r="H64" i="11"/>
  <c r="H62" i="11"/>
  <c r="H60" i="11"/>
  <c r="V90" i="11"/>
  <c r="U90" i="11"/>
  <c r="T90" i="11"/>
  <c r="S90" i="11"/>
  <c r="R90" i="11"/>
  <c r="D71" i="11"/>
  <c r="G90" i="11"/>
  <c r="F90" i="11"/>
  <c r="E90" i="11"/>
  <c r="J90" i="11" s="1"/>
  <c r="D90" i="11"/>
  <c r="I90" i="11" s="1"/>
  <c r="C90" i="11"/>
  <c r="H90" i="11" s="1"/>
  <c r="W90" i="11" l="1"/>
  <c r="AG90" i="11"/>
  <c r="AB90" i="11"/>
  <c r="M90" i="11"/>
  <c r="X90" i="11"/>
  <c r="Y90" i="11"/>
  <c r="H55" i="11" l="1"/>
  <c r="H53" i="11"/>
  <c r="H51" i="11"/>
  <c r="D51" i="11"/>
  <c r="D55" i="11"/>
  <c r="D54" i="11"/>
  <c r="D53" i="11"/>
  <c r="W166" i="11" l="1"/>
  <c r="W165" i="11"/>
  <c r="V165" i="11"/>
  <c r="W164" i="11"/>
  <c r="W163" i="11"/>
  <c r="V163" i="11"/>
  <c r="W162" i="11"/>
  <c r="W161" i="11"/>
  <c r="V161" i="11"/>
  <c r="W160" i="11"/>
  <c r="W159" i="11"/>
  <c r="W158" i="11"/>
  <c r="V158" i="11"/>
  <c r="W157" i="11"/>
  <c r="T166" i="11"/>
  <c r="T165" i="11"/>
  <c r="S165" i="11"/>
  <c r="T164" i="11"/>
  <c r="T163" i="11"/>
  <c r="S163" i="11"/>
  <c r="T162" i="11"/>
  <c r="T161" i="11"/>
  <c r="S161" i="11"/>
  <c r="T160" i="11"/>
  <c r="T159" i="11"/>
  <c r="T158" i="11"/>
  <c r="S158" i="11"/>
  <c r="T157" i="11"/>
  <c r="O166" i="11"/>
  <c r="O165" i="11"/>
  <c r="O164" i="11"/>
  <c r="O163" i="11"/>
  <c r="O162" i="11"/>
  <c r="O161" i="11"/>
  <c r="O160" i="11"/>
  <c r="O159" i="11"/>
  <c r="O158" i="11"/>
  <c r="O157" i="11"/>
  <c r="L166" i="11"/>
  <c r="L165" i="11"/>
  <c r="L164" i="11"/>
  <c r="L163" i="11"/>
  <c r="L162" i="11"/>
  <c r="L161" i="11"/>
  <c r="L160" i="11"/>
  <c r="L159" i="11"/>
  <c r="L158" i="11"/>
  <c r="L157" i="11"/>
  <c r="G166" i="11"/>
  <c r="G165" i="11"/>
  <c r="G164" i="11"/>
  <c r="G163" i="11"/>
  <c r="G162" i="11"/>
  <c r="G161" i="11"/>
  <c r="G160" i="11"/>
  <c r="G159" i="11"/>
  <c r="G158" i="11"/>
  <c r="G157" i="11"/>
  <c r="F165" i="11"/>
  <c r="F164" i="11"/>
  <c r="F163" i="11"/>
  <c r="F161" i="11"/>
  <c r="F158" i="11"/>
  <c r="D166" i="11"/>
  <c r="D165" i="11"/>
  <c r="C165" i="11"/>
  <c r="D164" i="11"/>
  <c r="C164" i="11"/>
  <c r="D163" i="11"/>
  <c r="C163" i="11"/>
  <c r="D162" i="11"/>
  <c r="D161" i="11"/>
  <c r="C161" i="11"/>
  <c r="D160" i="11"/>
  <c r="D159" i="11"/>
  <c r="D158" i="11"/>
  <c r="C158" i="11"/>
  <c r="D157" i="11"/>
  <c r="V151" i="11"/>
  <c r="U151" i="11"/>
  <c r="T151" i="11"/>
  <c r="Y151" i="11" s="1"/>
  <c r="S151" i="11"/>
  <c r="X151" i="11" s="1"/>
  <c r="R151" i="11"/>
  <c r="V150" i="11"/>
  <c r="U150" i="11"/>
  <c r="T150" i="11"/>
  <c r="Y150" i="11" s="1"/>
  <c r="S150" i="11"/>
  <c r="X150" i="11" s="1"/>
  <c r="R150" i="11"/>
  <c r="G151" i="11"/>
  <c r="F151" i="11"/>
  <c r="E151" i="11"/>
  <c r="D151" i="11"/>
  <c r="I151" i="11" s="1"/>
  <c r="C151" i="11"/>
  <c r="H151" i="11" s="1"/>
  <c r="G150" i="11"/>
  <c r="F150" i="11"/>
  <c r="E150" i="11"/>
  <c r="M150" i="11" s="1"/>
  <c r="D150" i="11"/>
  <c r="I150" i="11" s="1"/>
  <c r="C150" i="11"/>
  <c r="H150" i="11" s="1"/>
  <c r="AD144" i="11"/>
  <c r="AC144" i="11"/>
  <c r="AD143" i="11"/>
  <c r="AC143" i="11"/>
  <c r="AD142" i="11"/>
  <c r="AC142" i="11"/>
  <c r="AD140" i="11"/>
  <c r="AC140" i="11"/>
  <c r="AD137" i="11"/>
  <c r="AC137" i="11"/>
  <c r="V145" i="11"/>
  <c r="U145" i="11"/>
  <c r="T145" i="11"/>
  <c r="Y145" i="11" s="1"/>
  <c r="S145" i="11"/>
  <c r="X145" i="11" s="1"/>
  <c r="R145" i="11"/>
  <c r="V144" i="11"/>
  <c r="AA144" i="11" s="1"/>
  <c r="U144" i="11"/>
  <c r="Z144" i="11" s="1"/>
  <c r="T144" i="11"/>
  <c r="Y144" i="11" s="1"/>
  <c r="S144" i="11"/>
  <c r="X144" i="11" s="1"/>
  <c r="R144" i="11"/>
  <c r="V143" i="11"/>
  <c r="AA143" i="11" s="1"/>
  <c r="U143" i="11"/>
  <c r="Z143" i="11" s="1"/>
  <c r="T143" i="11"/>
  <c r="Y143" i="11" s="1"/>
  <c r="S143" i="11"/>
  <c r="X143" i="11" s="1"/>
  <c r="R143" i="11"/>
  <c r="V142" i="11"/>
  <c r="AA142" i="11" s="1"/>
  <c r="U142" i="11"/>
  <c r="Z142" i="11" s="1"/>
  <c r="T142" i="11"/>
  <c r="Y142" i="11" s="1"/>
  <c r="S142" i="11"/>
  <c r="X142" i="11" s="1"/>
  <c r="R142" i="11"/>
  <c r="V141" i="11"/>
  <c r="U141" i="11"/>
  <c r="T141" i="11"/>
  <c r="Y141" i="11" s="1"/>
  <c r="S141" i="11"/>
  <c r="X141" i="11" s="1"/>
  <c r="R141" i="11"/>
  <c r="V140" i="11"/>
  <c r="AA140" i="11" s="1"/>
  <c r="U140" i="11"/>
  <c r="Z140" i="11" s="1"/>
  <c r="T140" i="11"/>
  <c r="Y140" i="11" s="1"/>
  <c r="S140" i="11"/>
  <c r="X140" i="11" s="1"/>
  <c r="R140" i="11"/>
  <c r="V139" i="11"/>
  <c r="U139" i="11"/>
  <c r="T139" i="11"/>
  <c r="Y139" i="11" s="1"/>
  <c r="S139" i="11"/>
  <c r="X139" i="11" s="1"/>
  <c r="R139" i="11"/>
  <c r="V138" i="11"/>
  <c r="U138" i="11"/>
  <c r="T138" i="11"/>
  <c r="Y138" i="11" s="1"/>
  <c r="S138" i="11"/>
  <c r="X138" i="11" s="1"/>
  <c r="R138" i="11"/>
  <c r="V137" i="11"/>
  <c r="AA137" i="11" s="1"/>
  <c r="U137" i="11"/>
  <c r="Z137" i="11" s="1"/>
  <c r="T137" i="11"/>
  <c r="S137" i="11"/>
  <c r="X137" i="11" s="1"/>
  <c r="R137" i="11"/>
  <c r="V136" i="11"/>
  <c r="U136" i="11"/>
  <c r="T136" i="11"/>
  <c r="Y136" i="11" s="1"/>
  <c r="S136" i="11"/>
  <c r="X136" i="11" s="1"/>
  <c r="R136" i="11"/>
  <c r="V131" i="11"/>
  <c r="U131" i="11"/>
  <c r="T131" i="11"/>
  <c r="S131" i="11"/>
  <c r="X131" i="11" s="1"/>
  <c r="R131" i="11"/>
  <c r="V130" i="11"/>
  <c r="AA130" i="11" s="1"/>
  <c r="U130" i="11"/>
  <c r="Z130" i="11" s="1"/>
  <c r="T130" i="11"/>
  <c r="Y130" i="11" s="1"/>
  <c r="S130" i="11"/>
  <c r="X130" i="11" s="1"/>
  <c r="R130" i="11"/>
  <c r="V129" i="11"/>
  <c r="U129" i="11"/>
  <c r="T129" i="11"/>
  <c r="S129" i="11"/>
  <c r="X129" i="11" s="1"/>
  <c r="R129" i="11"/>
  <c r="V128" i="11"/>
  <c r="AA128" i="11" s="1"/>
  <c r="U128" i="11"/>
  <c r="Z128" i="11" s="1"/>
  <c r="T128" i="11"/>
  <c r="Y128" i="11" s="1"/>
  <c r="S128" i="11"/>
  <c r="X128" i="11" s="1"/>
  <c r="R128" i="11"/>
  <c r="V127" i="11"/>
  <c r="U127" i="11"/>
  <c r="T127" i="11"/>
  <c r="Y127" i="11" s="1"/>
  <c r="S127" i="11"/>
  <c r="X127" i="11" s="1"/>
  <c r="R127" i="11"/>
  <c r="V126" i="11"/>
  <c r="AA126" i="11" s="1"/>
  <c r="U126" i="11"/>
  <c r="Z126" i="11" s="1"/>
  <c r="T126" i="11"/>
  <c r="AB126" i="11" s="1"/>
  <c r="S126" i="11"/>
  <c r="X126" i="11" s="1"/>
  <c r="R126" i="11"/>
  <c r="V125" i="11"/>
  <c r="U125" i="11"/>
  <c r="T125" i="11"/>
  <c r="Y125" i="11" s="1"/>
  <c r="S125" i="11"/>
  <c r="X125" i="11" s="1"/>
  <c r="R125" i="11"/>
  <c r="V124" i="11"/>
  <c r="U124" i="11"/>
  <c r="T124" i="11"/>
  <c r="S124" i="11"/>
  <c r="X124" i="11" s="1"/>
  <c r="R124" i="11"/>
  <c r="V123" i="11"/>
  <c r="AA123" i="11" s="1"/>
  <c r="U123" i="11"/>
  <c r="Z123" i="11" s="1"/>
  <c r="T123" i="11"/>
  <c r="AB123" i="11" s="1"/>
  <c r="S123" i="11"/>
  <c r="X123" i="11" s="1"/>
  <c r="R123" i="11"/>
  <c r="V122" i="11"/>
  <c r="U122" i="11"/>
  <c r="T122" i="11"/>
  <c r="Y122" i="11" s="1"/>
  <c r="S122" i="11"/>
  <c r="X122" i="11" s="1"/>
  <c r="R122" i="11"/>
  <c r="AD130" i="11"/>
  <c r="AC130" i="11"/>
  <c r="AD128" i="11"/>
  <c r="AC128" i="11"/>
  <c r="AD126" i="11"/>
  <c r="AC126" i="11"/>
  <c r="AD123" i="11"/>
  <c r="AC123" i="11"/>
  <c r="AD116" i="11"/>
  <c r="AC116" i="11"/>
  <c r="AD114" i="11"/>
  <c r="AC114" i="11"/>
  <c r="AD112" i="11"/>
  <c r="AC112" i="11"/>
  <c r="AD109" i="11"/>
  <c r="AC109" i="11"/>
  <c r="V117" i="11"/>
  <c r="U117" i="11"/>
  <c r="T117" i="11"/>
  <c r="Y117" i="11" s="1"/>
  <c r="S117" i="11"/>
  <c r="X117" i="11" s="1"/>
  <c r="R117" i="11"/>
  <c r="V116" i="11"/>
  <c r="AA116" i="11" s="1"/>
  <c r="U116" i="11"/>
  <c r="Z116" i="11" s="1"/>
  <c r="T116" i="11"/>
  <c r="Y116" i="11" s="1"/>
  <c r="S116" i="11"/>
  <c r="X116" i="11" s="1"/>
  <c r="R116" i="11"/>
  <c r="V115" i="11"/>
  <c r="U115" i="11"/>
  <c r="T115" i="11"/>
  <c r="Y115" i="11" s="1"/>
  <c r="S115" i="11"/>
  <c r="X115" i="11" s="1"/>
  <c r="R115" i="11"/>
  <c r="V114" i="11"/>
  <c r="AA114" i="11" s="1"/>
  <c r="U114" i="11"/>
  <c r="Z114" i="11" s="1"/>
  <c r="T114" i="11"/>
  <c r="Y114" i="11" s="1"/>
  <c r="S114" i="11"/>
  <c r="X114" i="11" s="1"/>
  <c r="R114" i="11"/>
  <c r="V113" i="11"/>
  <c r="U113" i="11"/>
  <c r="T113" i="11"/>
  <c r="Y113" i="11" s="1"/>
  <c r="S113" i="11"/>
  <c r="X113" i="11" s="1"/>
  <c r="R113" i="11"/>
  <c r="V112" i="11"/>
  <c r="AA112" i="11" s="1"/>
  <c r="U112" i="11"/>
  <c r="Z112" i="11" s="1"/>
  <c r="T112" i="11"/>
  <c r="AB112" i="11" s="1"/>
  <c r="S112" i="11"/>
  <c r="X112" i="11" s="1"/>
  <c r="R112" i="11"/>
  <c r="V111" i="11"/>
  <c r="U111" i="11"/>
  <c r="T111" i="11"/>
  <c r="S111" i="11"/>
  <c r="X111" i="11" s="1"/>
  <c r="R111" i="11"/>
  <c r="V110" i="11"/>
  <c r="U110" i="11"/>
  <c r="T110" i="11"/>
  <c r="Y110" i="11" s="1"/>
  <c r="S110" i="11"/>
  <c r="X110" i="11" s="1"/>
  <c r="R110" i="11"/>
  <c r="V109" i="11"/>
  <c r="AA109" i="11" s="1"/>
  <c r="U109" i="11"/>
  <c r="Z109" i="11" s="1"/>
  <c r="T109" i="11"/>
  <c r="Y109" i="11" s="1"/>
  <c r="S109" i="11"/>
  <c r="X109" i="11" s="1"/>
  <c r="R109" i="11"/>
  <c r="V108" i="11"/>
  <c r="U108" i="11"/>
  <c r="T108" i="11"/>
  <c r="Y108" i="11" s="1"/>
  <c r="S108" i="11"/>
  <c r="X108" i="11" s="1"/>
  <c r="R108" i="11"/>
  <c r="AB117" i="11"/>
  <c r="V103" i="11"/>
  <c r="U103" i="11"/>
  <c r="T103" i="11"/>
  <c r="Y103" i="11" s="1"/>
  <c r="S103" i="11"/>
  <c r="X103" i="11" s="1"/>
  <c r="R103" i="11"/>
  <c r="W103" i="11" s="1"/>
  <c r="V102" i="11"/>
  <c r="U102" i="11"/>
  <c r="T102" i="11"/>
  <c r="Y102" i="11" s="1"/>
  <c r="S102" i="11"/>
  <c r="X102" i="11" s="1"/>
  <c r="R102" i="11"/>
  <c r="V101" i="11"/>
  <c r="U101" i="11"/>
  <c r="T101" i="11"/>
  <c r="Y101" i="11" s="1"/>
  <c r="S101" i="11"/>
  <c r="X101" i="11" s="1"/>
  <c r="R101" i="11"/>
  <c r="V100" i="11"/>
  <c r="U100" i="11"/>
  <c r="T100" i="11"/>
  <c r="Y100" i="11" s="1"/>
  <c r="S100" i="11"/>
  <c r="X100" i="11" s="1"/>
  <c r="R100" i="11"/>
  <c r="V99" i="11"/>
  <c r="U99" i="11"/>
  <c r="T99" i="11"/>
  <c r="Y99" i="11" s="1"/>
  <c r="S99" i="11"/>
  <c r="X99" i="11" s="1"/>
  <c r="R99" i="11"/>
  <c r="V98" i="11"/>
  <c r="U98" i="11"/>
  <c r="T98" i="11"/>
  <c r="Y98" i="11" s="1"/>
  <c r="S98" i="11"/>
  <c r="X98" i="11" s="1"/>
  <c r="R98" i="11"/>
  <c r="V97" i="11"/>
  <c r="U97" i="11"/>
  <c r="T97" i="11"/>
  <c r="S97" i="11"/>
  <c r="X97" i="11" s="1"/>
  <c r="R97" i="11"/>
  <c r="V96" i="11"/>
  <c r="U96" i="11"/>
  <c r="T96" i="11"/>
  <c r="Y96" i="11" s="1"/>
  <c r="S96" i="11"/>
  <c r="X96" i="11" s="1"/>
  <c r="R96" i="11"/>
  <c r="V95" i="11"/>
  <c r="U95" i="11"/>
  <c r="T95" i="11"/>
  <c r="Y95" i="11" s="1"/>
  <c r="S95" i="11"/>
  <c r="X95" i="11" s="1"/>
  <c r="R95" i="11"/>
  <c r="V94" i="11"/>
  <c r="U94" i="11"/>
  <c r="T94" i="11"/>
  <c r="Y94" i="11" s="1"/>
  <c r="S94" i="11"/>
  <c r="X94" i="11" s="1"/>
  <c r="R94" i="11"/>
  <c r="AD89" i="11"/>
  <c r="AC89" i="11"/>
  <c r="AD88" i="11"/>
  <c r="AC88" i="11"/>
  <c r="AD87" i="11"/>
  <c r="AC87" i="11"/>
  <c r="AD85" i="11"/>
  <c r="AC85" i="11"/>
  <c r="AD82" i="11"/>
  <c r="AC82" i="11"/>
  <c r="V89" i="11"/>
  <c r="AA89" i="11" s="1"/>
  <c r="U89" i="11"/>
  <c r="Z89" i="11" s="1"/>
  <c r="T89" i="11"/>
  <c r="Y89" i="11" s="1"/>
  <c r="S89" i="11"/>
  <c r="X89" i="11" s="1"/>
  <c r="R89" i="11"/>
  <c r="V88" i="11"/>
  <c r="AA88" i="11" s="1"/>
  <c r="U88" i="11"/>
  <c r="Z88" i="11" s="1"/>
  <c r="T88" i="11"/>
  <c r="Y88" i="11" s="1"/>
  <c r="S88" i="11"/>
  <c r="X88" i="11" s="1"/>
  <c r="R88" i="11"/>
  <c r="V87" i="11"/>
  <c r="AA87" i="11" s="1"/>
  <c r="U87" i="11"/>
  <c r="Z87" i="11" s="1"/>
  <c r="T87" i="11"/>
  <c r="AB87" i="11" s="1"/>
  <c r="S87" i="11"/>
  <c r="X87" i="11" s="1"/>
  <c r="R87" i="11"/>
  <c r="V86" i="11"/>
  <c r="U86" i="11"/>
  <c r="T86" i="11"/>
  <c r="S86" i="11"/>
  <c r="X86" i="11" s="1"/>
  <c r="R86" i="11"/>
  <c r="V85" i="11"/>
  <c r="AA85" i="11" s="1"/>
  <c r="U85" i="11"/>
  <c r="Z85" i="11" s="1"/>
  <c r="T85" i="11"/>
  <c r="AB85" i="11" s="1"/>
  <c r="S85" i="11"/>
  <c r="X85" i="11" s="1"/>
  <c r="R85" i="11"/>
  <c r="V84" i="11"/>
  <c r="U84" i="11"/>
  <c r="T84" i="11"/>
  <c r="Y84" i="11" s="1"/>
  <c r="S84" i="11"/>
  <c r="X84" i="11" s="1"/>
  <c r="R84" i="11"/>
  <c r="V83" i="11"/>
  <c r="U83" i="11"/>
  <c r="T83" i="11"/>
  <c r="S83" i="11"/>
  <c r="X83" i="11" s="1"/>
  <c r="R83" i="11"/>
  <c r="V82" i="11"/>
  <c r="AA82" i="11" s="1"/>
  <c r="U82" i="11"/>
  <c r="Z82" i="11" s="1"/>
  <c r="T82" i="11"/>
  <c r="Y82" i="11" s="1"/>
  <c r="S82" i="11"/>
  <c r="X82" i="11" s="1"/>
  <c r="R82" i="11"/>
  <c r="V81" i="11"/>
  <c r="U81" i="11"/>
  <c r="T81" i="11"/>
  <c r="Y81" i="11" s="1"/>
  <c r="S81" i="11"/>
  <c r="X81" i="11" s="1"/>
  <c r="R81" i="11"/>
  <c r="H164" i="11" l="1"/>
  <c r="M151" i="11"/>
  <c r="L12" i="11"/>
  <c r="W87" i="11"/>
  <c r="W100" i="11"/>
  <c r="W115" i="11"/>
  <c r="W127" i="11"/>
  <c r="W139" i="11"/>
  <c r="W150" i="11"/>
  <c r="AG150" i="11"/>
  <c r="W97" i="11"/>
  <c r="K12" i="11"/>
  <c r="W112" i="11"/>
  <c r="W124" i="11"/>
  <c r="W136" i="11"/>
  <c r="W144" i="11"/>
  <c r="H12" i="11"/>
  <c r="W86" i="11"/>
  <c r="W84" i="11"/>
  <c r="W81" i="11"/>
  <c r="W89" i="11"/>
  <c r="W94" i="11"/>
  <c r="W102" i="11"/>
  <c r="W109" i="11"/>
  <c r="W117" i="11"/>
  <c r="W129" i="11"/>
  <c r="W141" i="11"/>
  <c r="AB151" i="11"/>
  <c r="W138" i="11"/>
  <c r="W83" i="11"/>
  <c r="W96" i="11"/>
  <c r="W111" i="11"/>
  <c r="W123" i="11"/>
  <c r="W131" i="11"/>
  <c r="W143" i="11"/>
  <c r="N12" i="11"/>
  <c r="W126" i="11"/>
  <c r="W88" i="11"/>
  <c r="W101" i="11"/>
  <c r="W108" i="11"/>
  <c r="W116" i="11"/>
  <c r="W128" i="11"/>
  <c r="M12" i="11"/>
  <c r="W140" i="11"/>
  <c r="W151" i="11"/>
  <c r="AG151" i="11"/>
  <c r="W114" i="11"/>
  <c r="I12" i="11"/>
  <c r="W85" i="11"/>
  <c r="J12" i="11"/>
  <c r="W98" i="11"/>
  <c r="W113" i="11"/>
  <c r="W125" i="11"/>
  <c r="W137" i="11"/>
  <c r="W145" i="11"/>
  <c r="W99" i="11"/>
  <c r="W82" i="11"/>
  <c r="W95" i="11"/>
  <c r="W110" i="11"/>
  <c r="W122" i="11"/>
  <c r="W130" i="11"/>
  <c r="W142" i="11"/>
  <c r="AB129" i="11"/>
  <c r="U161" i="11"/>
  <c r="AB137" i="11"/>
  <c r="Y137" i="11"/>
  <c r="AB124" i="11"/>
  <c r="AB145" i="11"/>
  <c r="E165" i="11"/>
  <c r="X163" i="11"/>
  <c r="H163" i="11"/>
  <c r="X158" i="11"/>
  <c r="X165" i="11"/>
  <c r="U165" i="11"/>
  <c r="E163" i="11"/>
  <c r="E158" i="11"/>
  <c r="E164" i="11"/>
  <c r="U163" i="11"/>
  <c r="U158" i="11"/>
  <c r="AB111" i="11"/>
  <c r="AB131" i="11"/>
  <c r="AB138" i="11"/>
  <c r="AB86" i="11"/>
  <c r="AB83" i="11"/>
  <c r="AB97" i="11"/>
  <c r="AB96" i="11"/>
  <c r="Y126" i="11"/>
  <c r="AB101" i="11"/>
  <c r="AB95" i="11"/>
  <c r="AB103" i="11"/>
  <c r="Y124" i="11"/>
  <c r="Y129" i="11"/>
  <c r="H161" i="11"/>
  <c r="X161" i="11"/>
  <c r="E161" i="11"/>
  <c r="H165" i="11"/>
  <c r="H158" i="11"/>
  <c r="AB128" i="11"/>
  <c r="J150" i="11"/>
  <c r="AB99" i="11"/>
  <c r="AB113" i="11"/>
  <c r="AB140" i="11"/>
  <c r="AB82" i="11"/>
  <c r="Y85" i="11"/>
  <c r="AB150" i="11"/>
  <c r="J151" i="11"/>
  <c r="AB139" i="11"/>
  <c r="AB114" i="11"/>
  <c r="AB84" i="11"/>
  <c r="AB115" i="11"/>
  <c r="AB143" i="11"/>
  <c r="Y86" i="11"/>
  <c r="Y87" i="11"/>
  <c r="AB100" i="11"/>
  <c r="Y97" i="11"/>
  <c r="Y123" i="11"/>
  <c r="AB109" i="11"/>
  <c r="Y112" i="11"/>
  <c r="Y131" i="11"/>
  <c r="AB81" i="11"/>
  <c r="Y83" i="11"/>
  <c r="AB110" i="11"/>
  <c r="Y111" i="11"/>
  <c r="AB125" i="11"/>
  <c r="AB142" i="11"/>
  <c r="AB89" i="11"/>
  <c r="AB98" i="11"/>
  <c r="AB136" i="11"/>
  <c r="AB144" i="11"/>
  <c r="AB141" i="11"/>
  <c r="AB130" i="11"/>
  <c r="AB127" i="11"/>
  <c r="AB122" i="11"/>
  <c r="AB108" i="11"/>
  <c r="AB116" i="11"/>
  <c r="AB94" i="11"/>
  <c r="AB102" i="11"/>
  <c r="AB88" i="11"/>
  <c r="H15" i="11" l="1"/>
  <c r="G145" i="11"/>
  <c r="F145" i="11"/>
  <c r="E145" i="11"/>
  <c r="D145" i="11"/>
  <c r="I145" i="11" s="1"/>
  <c r="C145" i="11"/>
  <c r="G131" i="11"/>
  <c r="F131" i="11"/>
  <c r="E131" i="11"/>
  <c r="D131" i="11"/>
  <c r="I131" i="11" s="1"/>
  <c r="C131" i="11"/>
  <c r="G117" i="11"/>
  <c r="F117" i="11"/>
  <c r="E117" i="11"/>
  <c r="D117" i="11"/>
  <c r="I117" i="11" s="1"/>
  <c r="C117" i="11"/>
  <c r="G103" i="11"/>
  <c r="F103" i="11"/>
  <c r="E103" i="11"/>
  <c r="D103" i="11"/>
  <c r="I103" i="11" s="1"/>
  <c r="C103" i="11"/>
  <c r="O144" i="11"/>
  <c r="N144" i="11"/>
  <c r="G144" i="11"/>
  <c r="L144" i="11" s="1"/>
  <c r="F144" i="11"/>
  <c r="K144" i="11" s="1"/>
  <c r="E144" i="11"/>
  <c r="D144" i="11"/>
  <c r="I144" i="11" s="1"/>
  <c r="C144" i="11"/>
  <c r="O143" i="11"/>
  <c r="N143" i="11"/>
  <c r="G143" i="11"/>
  <c r="L143" i="11" s="1"/>
  <c r="F143" i="11"/>
  <c r="K143" i="11" s="1"/>
  <c r="E143" i="11"/>
  <c r="J143" i="11" s="1"/>
  <c r="D143" i="11"/>
  <c r="I143" i="11" s="1"/>
  <c r="C143" i="11"/>
  <c r="O142" i="11"/>
  <c r="N142" i="11"/>
  <c r="G142" i="11"/>
  <c r="L142" i="11" s="1"/>
  <c r="F142" i="11"/>
  <c r="K142" i="11" s="1"/>
  <c r="E142" i="11"/>
  <c r="D142" i="11"/>
  <c r="I142" i="11" s="1"/>
  <c r="C142" i="11"/>
  <c r="G141" i="11"/>
  <c r="F141" i="11"/>
  <c r="E141" i="11"/>
  <c r="D141" i="11"/>
  <c r="I141" i="11" s="1"/>
  <c r="C141" i="11"/>
  <c r="O140" i="11"/>
  <c r="N140" i="11"/>
  <c r="G140" i="11"/>
  <c r="L140" i="11" s="1"/>
  <c r="F140" i="11"/>
  <c r="K140" i="11" s="1"/>
  <c r="E140" i="11"/>
  <c r="D140" i="11"/>
  <c r="I140" i="11" s="1"/>
  <c r="C140" i="11"/>
  <c r="G139" i="11"/>
  <c r="F139" i="11"/>
  <c r="E139" i="11"/>
  <c r="D139" i="11"/>
  <c r="I139" i="11" s="1"/>
  <c r="C139" i="11"/>
  <c r="G138" i="11"/>
  <c r="F138" i="11"/>
  <c r="E138" i="11"/>
  <c r="J138" i="11" s="1"/>
  <c r="D138" i="11"/>
  <c r="I138" i="11" s="1"/>
  <c r="C138" i="11"/>
  <c r="O137" i="11"/>
  <c r="N137" i="11"/>
  <c r="G137" i="11"/>
  <c r="L137" i="11" s="1"/>
  <c r="F137" i="11"/>
  <c r="K137" i="11" s="1"/>
  <c r="E137" i="11"/>
  <c r="D137" i="11"/>
  <c r="I137" i="11" s="1"/>
  <c r="C137" i="11"/>
  <c r="G136" i="11"/>
  <c r="F136" i="11"/>
  <c r="E136" i="11"/>
  <c r="D136" i="11"/>
  <c r="I136" i="11" s="1"/>
  <c r="C136" i="11"/>
  <c r="O130" i="11"/>
  <c r="N130" i="11"/>
  <c r="G130" i="11"/>
  <c r="L130" i="11" s="1"/>
  <c r="F130" i="11"/>
  <c r="K130" i="11" s="1"/>
  <c r="E130" i="11"/>
  <c r="M130" i="11" s="1"/>
  <c r="D130" i="11"/>
  <c r="I130" i="11" s="1"/>
  <c r="C130" i="11"/>
  <c r="G129" i="11"/>
  <c r="F129" i="11"/>
  <c r="E129" i="11"/>
  <c r="J129" i="11" s="1"/>
  <c r="D129" i="11"/>
  <c r="I129" i="11" s="1"/>
  <c r="C129" i="11"/>
  <c r="O128" i="11"/>
  <c r="N128" i="11"/>
  <c r="G128" i="11"/>
  <c r="L128" i="11" s="1"/>
  <c r="F128" i="11"/>
  <c r="K128" i="11" s="1"/>
  <c r="E128" i="11"/>
  <c r="M128" i="11" s="1"/>
  <c r="D128" i="11"/>
  <c r="I128" i="11" s="1"/>
  <c r="C128" i="11"/>
  <c r="G127" i="11"/>
  <c r="F127" i="11"/>
  <c r="E127" i="11"/>
  <c r="J127" i="11" s="1"/>
  <c r="D127" i="11"/>
  <c r="I127" i="11" s="1"/>
  <c r="C127" i="11"/>
  <c r="O126" i="11"/>
  <c r="N126" i="11"/>
  <c r="G126" i="11"/>
  <c r="L126" i="11" s="1"/>
  <c r="F126" i="11"/>
  <c r="K126" i="11" s="1"/>
  <c r="E126" i="11"/>
  <c r="M126" i="11" s="1"/>
  <c r="D126" i="11"/>
  <c r="I126" i="11" s="1"/>
  <c r="C126" i="11"/>
  <c r="G125" i="11"/>
  <c r="F125" i="11"/>
  <c r="E125" i="11"/>
  <c r="D125" i="11"/>
  <c r="I125" i="11" s="1"/>
  <c r="C125" i="11"/>
  <c r="G124" i="11"/>
  <c r="F124" i="11"/>
  <c r="E124" i="11"/>
  <c r="J124" i="11" s="1"/>
  <c r="D124" i="11"/>
  <c r="I124" i="11" s="1"/>
  <c r="C124" i="11"/>
  <c r="O123" i="11"/>
  <c r="N123" i="11"/>
  <c r="G123" i="11"/>
  <c r="L123" i="11" s="1"/>
  <c r="F123" i="11"/>
  <c r="K123" i="11" s="1"/>
  <c r="E123" i="11"/>
  <c r="M123" i="11" s="1"/>
  <c r="D123" i="11"/>
  <c r="I123" i="11" s="1"/>
  <c r="C123" i="11"/>
  <c r="G122" i="11"/>
  <c r="F122" i="11"/>
  <c r="E122" i="11"/>
  <c r="D122" i="11"/>
  <c r="I122" i="11" s="1"/>
  <c r="C122" i="11"/>
  <c r="O116" i="11"/>
  <c r="N116" i="11"/>
  <c r="G116" i="11"/>
  <c r="L116" i="11" s="1"/>
  <c r="F116" i="11"/>
  <c r="K116" i="11" s="1"/>
  <c r="E116" i="11"/>
  <c r="M116" i="11" s="1"/>
  <c r="D116" i="11"/>
  <c r="I116" i="11" s="1"/>
  <c r="C116" i="11"/>
  <c r="G115" i="11"/>
  <c r="F115" i="11"/>
  <c r="E115" i="11"/>
  <c r="J115" i="11" s="1"/>
  <c r="D115" i="11"/>
  <c r="I115" i="11" s="1"/>
  <c r="C115" i="11"/>
  <c r="O114" i="11"/>
  <c r="N114" i="11"/>
  <c r="G114" i="11"/>
  <c r="L114" i="11" s="1"/>
  <c r="F114" i="11"/>
  <c r="K114" i="11" s="1"/>
  <c r="E114" i="11"/>
  <c r="M114" i="11" s="1"/>
  <c r="D114" i="11"/>
  <c r="I114" i="11" s="1"/>
  <c r="C114" i="11"/>
  <c r="G113" i="11"/>
  <c r="F113" i="11"/>
  <c r="E113" i="11"/>
  <c r="D113" i="11"/>
  <c r="I113" i="11" s="1"/>
  <c r="C113" i="11"/>
  <c r="O112" i="11"/>
  <c r="N112" i="11"/>
  <c r="G112" i="11"/>
  <c r="L112" i="11" s="1"/>
  <c r="F112" i="11"/>
  <c r="K112" i="11" s="1"/>
  <c r="E112" i="11"/>
  <c r="M112" i="11" s="1"/>
  <c r="D112" i="11"/>
  <c r="I112" i="11" s="1"/>
  <c r="C112" i="11"/>
  <c r="G111" i="11"/>
  <c r="F111" i="11"/>
  <c r="E111" i="11"/>
  <c r="D111" i="11"/>
  <c r="I111" i="11" s="1"/>
  <c r="C111" i="11"/>
  <c r="G110" i="11"/>
  <c r="F110" i="11"/>
  <c r="E110" i="11"/>
  <c r="J110" i="11" s="1"/>
  <c r="D110" i="11"/>
  <c r="I110" i="11" s="1"/>
  <c r="C110" i="11"/>
  <c r="O109" i="11"/>
  <c r="N109" i="11"/>
  <c r="G109" i="11"/>
  <c r="L109" i="11" s="1"/>
  <c r="F109" i="11"/>
  <c r="K109" i="11" s="1"/>
  <c r="E109" i="11"/>
  <c r="M109" i="11" s="1"/>
  <c r="D109" i="11"/>
  <c r="I109" i="11" s="1"/>
  <c r="C109" i="11"/>
  <c r="G102" i="11"/>
  <c r="F102" i="11"/>
  <c r="E102" i="11"/>
  <c r="M102" i="11" s="1"/>
  <c r="D102" i="11"/>
  <c r="I102" i="11" s="1"/>
  <c r="C102" i="11"/>
  <c r="G101" i="11"/>
  <c r="F101" i="11"/>
  <c r="E101" i="11"/>
  <c r="J101" i="11" s="1"/>
  <c r="D101" i="11"/>
  <c r="I101" i="11" s="1"/>
  <c r="C101" i="11"/>
  <c r="G100" i="11"/>
  <c r="F100" i="11"/>
  <c r="E100" i="11"/>
  <c r="D100" i="11"/>
  <c r="I100" i="11" s="1"/>
  <c r="C100" i="11"/>
  <c r="G99" i="11"/>
  <c r="F99" i="11"/>
  <c r="E99" i="11"/>
  <c r="M99" i="11" s="1"/>
  <c r="D99" i="11"/>
  <c r="I99" i="11" s="1"/>
  <c r="C99" i="11"/>
  <c r="G98" i="11"/>
  <c r="F98" i="11"/>
  <c r="E98" i="11"/>
  <c r="D98" i="11"/>
  <c r="I98" i="11" s="1"/>
  <c r="C98" i="11"/>
  <c r="G97" i="11"/>
  <c r="F97" i="11"/>
  <c r="E97" i="11"/>
  <c r="D97" i="11"/>
  <c r="I97" i="11" s="1"/>
  <c r="C97" i="11"/>
  <c r="G96" i="11"/>
  <c r="F96" i="11"/>
  <c r="E96" i="11"/>
  <c r="D96" i="11"/>
  <c r="I96" i="11" s="1"/>
  <c r="C96" i="11"/>
  <c r="G95" i="11"/>
  <c r="F95" i="11"/>
  <c r="E95" i="11"/>
  <c r="D95" i="11"/>
  <c r="I95" i="11" s="1"/>
  <c r="C95" i="11"/>
  <c r="G108" i="11"/>
  <c r="F108" i="11"/>
  <c r="E108" i="11"/>
  <c r="D108" i="11"/>
  <c r="I108" i="11" s="1"/>
  <c r="C108" i="11"/>
  <c r="M95" i="11" l="1"/>
  <c r="G12" i="11"/>
  <c r="H100" i="11"/>
  <c r="AG100" i="11"/>
  <c r="H101" i="11"/>
  <c r="AG101" i="11"/>
  <c r="H98" i="11"/>
  <c r="AG98" i="11"/>
  <c r="H110" i="11"/>
  <c r="AG110" i="11"/>
  <c r="H142" i="11"/>
  <c r="AG142" i="11"/>
  <c r="H138" i="11"/>
  <c r="AG138" i="11"/>
  <c r="E12" i="11"/>
  <c r="H95" i="11"/>
  <c r="AG95" i="11"/>
  <c r="H109" i="11"/>
  <c r="AG109" i="11"/>
  <c r="H113" i="11"/>
  <c r="AG113" i="11"/>
  <c r="H122" i="11"/>
  <c r="AG122" i="11"/>
  <c r="H116" i="11"/>
  <c r="AG116" i="11"/>
  <c r="H97" i="11"/>
  <c r="AG97" i="11"/>
  <c r="H128" i="11"/>
  <c r="AG128" i="11"/>
  <c r="H137" i="11"/>
  <c r="AG137" i="11"/>
  <c r="H141" i="11"/>
  <c r="AG141" i="11"/>
  <c r="H117" i="11"/>
  <c r="AG117" i="11"/>
  <c r="H108" i="11"/>
  <c r="AG108" i="11"/>
  <c r="H102" i="11"/>
  <c r="AG102" i="11"/>
  <c r="H140" i="11"/>
  <c r="AG140" i="11"/>
  <c r="H145" i="11"/>
  <c r="AG145" i="11"/>
  <c r="H129" i="11"/>
  <c r="AG129" i="11"/>
  <c r="H99" i="11"/>
  <c r="AG99" i="11"/>
  <c r="H111" i="11"/>
  <c r="AG111" i="11"/>
  <c r="H115" i="11"/>
  <c r="AG115" i="11"/>
  <c r="F12" i="11"/>
  <c r="H124" i="11"/>
  <c r="AG124" i="11"/>
  <c r="H103" i="11"/>
  <c r="AG103" i="11"/>
  <c r="H96" i="11"/>
  <c r="AG96" i="11"/>
  <c r="H114" i="11"/>
  <c r="AG114" i="11"/>
  <c r="H123" i="11"/>
  <c r="AG123" i="11"/>
  <c r="H127" i="11"/>
  <c r="AG127" i="11"/>
  <c r="H136" i="11"/>
  <c r="AG136" i="11"/>
  <c r="H144" i="11"/>
  <c r="AG144" i="11"/>
  <c r="H112" i="11"/>
  <c r="AG112" i="11"/>
  <c r="H125" i="11"/>
  <c r="AG125" i="11"/>
  <c r="H126" i="11"/>
  <c r="AG126" i="11"/>
  <c r="H130" i="11"/>
  <c r="AG130" i="11"/>
  <c r="H139" i="11"/>
  <c r="AG139" i="11"/>
  <c r="H143" i="11"/>
  <c r="AG143" i="11"/>
  <c r="H131" i="11"/>
  <c r="AG131" i="11"/>
  <c r="M131" i="11"/>
  <c r="M111" i="11"/>
  <c r="M98" i="11"/>
  <c r="M108" i="11"/>
  <c r="M122" i="11"/>
  <c r="M113" i="11"/>
  <c r="M125" i="11"/>
  <c r="M117" i="11"/>
  <c r="M103" i="11"/>
  <c r="M100" i="11"/>
  <c r="M97" i="11"/>
  <c r="M96" i="11"/>
  <c r="M141" i="11"/>
  <c r="J141" i="11"/>
  <c r="M140" i="11"/>
  <c r="J140" i="11"/>
  <c r="M145" i="11"/>
  <c r="J145" i="11"/>
  <c r="M137" i="11"/>
  <c r="J137" i="11"/>
  <c r="M136" i="11"/>
  <c r="J136" i="11"/>
  <c r="M144" i="11"/>
  <c r="J144" i="11"/>
  <c r="M139" i="11"/>
  <c r="J139" i="11"/>
  <c r="M142" i="11"/>
  <c r="J142" i="11"/>
  <c r="J112" i="11"/>
  <c r="J98" i="11"/>
  <c r="J131" i="11"/>
  <c r="J99" i="11"/>
  <c r="J117" i="11"/>
  <c r="J126" i="11"/>
  <c r="J103" i="11"/>
  <c r="J122" i="11"/>
  <c r="J100" i="11"/>
  <c r="J95" i="11"/>
  <c r="J108" i="11"/>
  <c r="J114" i="11"/>
  <c r="J123" i="11"/>
  <c r="J128" i="11"/>
  <c r="J109" i="11"/>
  <c r="M138" i="11"/>
  <c r="M143" i="11"/>
  <c r="M127" i="11"/>
  <c r="M129" i="11"/>
  <c r="J125" i="11"/>
  <c r="J130" i="11"/>
  <c r="M124" i="11"/>
  <c r="M115" i="11"/>
  <c r="J111" i="11"/>
  <c r="M110" i="11"/>
  <c r="J116" i="11"/>
  <c r="J113" i="11"/>
  <c r="M101" i="11"/>
  <c r="J97" i="11"/>
  <c r="J102" i="11"/>
  <c r="J96" i="11"/>
  <c r="G15" i="11" l="1"/>
  <c r="F15" i="11"/>
  <c r="E15" i="11"/>
  <c r="G94" i="11"/>
  <c r="D12" i="11" s="1"/>
  <c r="F94" i="11"/>
  <c r="E94" i="11"/>
  <c r="D94" i="11"/>
  <c r="I94" i="11" s="1"/>
  <c r="C94" i="11"/>
  <c r="O89" i="11"/>
  <c r="N89" i="11"/>
  <c r="G89" i="11"/>
  <c r="L89" i="11" s="1"/>
  <c r="F89" i="11"/>
  <c r="K89" i="11" s="1"/>
  <c r="E89" i="11"/>
  <c r="M89" i="11" s="1"/>
  <c r="D89" i="11"/>
  <c r="I89" i="11" s="1"/>
  <c r="C89" i="11"/>
  <c r="O88" i="11"/>
  <c r="N88" i="11"/>
  <c r="G88" i="11"/>
  <c r="L88" i="11" s="1"/>
  <c r="F88" i="11"/>
  <c r="K88" i="11" s="1"/>
  <c r="E88" i="11"/>
  <c r="J88" i="11" s="1"/>
  <c r="D88" i="11"/>
  <c r="I88" i="11" s="1"/>
  <c r="C88" i="11"/>
  <c r="O87" i="11"/>
  <c r="N87" i="11"/>
  <c r="G87" i="11"/>
  <c r="L87" i="11" s="1"/>
  <c r="F87" i="11"/>
  <c r="K87" i="11" s="1"/>
  <c r="E87" i="11"/>
  <c r="M87" i="11" s="1"/>
  <c r="D87" i="11"/>
  <c r="I87" i="11" s="1"/>
  <c r="C87" i="11"/>
  <c r="G86" i="11"/>
  <c r="F86" i="11"/>
  <c r="E86" i="11"/>
  <c r="D86" i="11"/>
  <c r="I86" i="11" s="1"/>
  <c r="C86" i="11"/>
  <c r="O85" i="11"/>
  <c r="N85" i="11"/>
  <c r="G85" i="11"/>
  <c r="L85" i="11" s="1"/>
  <c r="F85" i="11"/>
  <c r="K85" i="11" s="1"/>
  <c r="E85" i="11"/>
  <c r="M85" i="11" s="1"/>
  <c r="D85" i="11"/>
  <c r="I85" i="11" s="1"/>
  <c r="C85" i="11"/>
  <c r="G84" i="11"/>
  <c r="F84" i="11"/>
  <c r="E84" i="11"/>
  <c r="D84" i="11"/>
  <c r="I84" i="11" s="1"/>
  <c r="C84" i="11"/>
  <c r="G83" i="11"/>
  <c r="F83" i="11"/>
  <c r="E83" i="11"/>
  <c r="D83" i="11"/>
  <c r="I83" i="11" s="1"/>
  <c r="C83" i="11"/>
  <c r="O82" i="11"/>
  <c r="N82" i="11"/>
  <c r="G82" i="11"/>
  <c r="L82" i="11" s="1"/>
  <c r="F82" i="11"/>
  <c r="K82" i="11" s="1"/>
  <c r="E82" i="11"/>
  <c r="J82" i="11" s="1"/>
  <c r="D82" i="11"/>
  <c r="I82" i="11" s="1"/>
  <c r="C82" i="11"/>
  <c r="G81" i="11"/>
  <c r="F81" i="11"/>
  <c r="E81" i="11"/>
  <c r="D81" i="11"/>
  <c r="I81" i="11" s="1"/>
  <c r="C81" i="11"/>
  <c r="H75" i="11"/>
  <c r="F61" i="11" s="1"/>
  <c r="G75" i="11"/>
  <c r="H74" i="11"/>
  <c r="G74" i="11"/>
  <c r="H73" i="11"/>
  <c r="G73" i="11"/>
  <c r="H61" i="11" s="1"/>
  <c r="H72" i="11"/>
  <c r="G72" i="11"/>
  <c r="H71" i="11"/>
  <c r="G71" i="11"/>
  <c r="H70" i="11"/>
  <c r="F62" i="11" s="1"/>
  <c r="G70" i="11"/>
  <c r="H69" i="11"/>
  <c r="G69" i="11"/>
  <c r="D75" i="11"/>
  <c r="F52" i="11" s="1"/>
  <c r="D73" i="11"/>
  <c r="D72" i="11"/>
  <c r="F55" i="11" s="1"/>
  <c r="D70" i="11"/>
  <c r="F53" i="11" s="1"/>
  <c r="D69" i="11"/>
  <c r="C75" i="11"/>
  <c r="C73" i="11"/>
  <c r="H52" i="11" s="1"/>
  <c r="C72" i="11"/>
  <c r="C71" i="11"/>
  <c r="C70" i="11"/>
  <c r="C69" i="11"/>
  <c r="C52" i="11" s="1"/>
  <c r="D220" i="11" l="1"/>
  <c r="D219" i="11"/>
  <c r="F219" i="11" s="1"/>
  <c r="D217" i="11"/>
  <c r="F217" i="11" s="1"/>
  <c r="D218" i="11"/>
  <c r="D224" i="11"/>
  <c r="D223" i="11"/>
  <c r="F223" i="11" s="1"/>
  <c r="D225" i="11"/>
  <c r="F225" i="11" s="1"/>
  <c r="D226" i="11"/>
  <c r="D222" i="11"/>
  <c r="D221" i="11"/>
  <c r="F221" i="11" s="1"/>
  <c r="D228" i="11"/>
  <c r="D227" i="11"/>
  <c r="F227" i="11" s="1"/>
  <c r="E200" i="11" a="1"/>
  <c r="E200" i="11" s="1"/>
  <c r="D203" i="11" a="1"/>
  <c r="D203" i="11" s="1"/>
  <c r="E203" i="11" a="1"/>
  <c r="E203" i="11" s="1"/>
  <c r="C61" i="11"/>
  <c r="C12" i="11"/>
  <c r="H87" i="11"/>
  <c r="AG87" i="11"/>
  <c r="H83" i="11"/>
  <c r="AG83" i="11"/>
  <c r="H82" i="11"/>
  <c r="AG82" i="11"/>
  <c r="H86" i="11"/>
  <c r="AG86" i="11"/>
  <c r="H85" i="11"/>
  <c r="AG85" i="11"/>
  <c r="H94" i="11"/>
  <c r="AG94" i="11"/>
  <c r="D15" i="11" s="1"/>
  <c r="H81" i="11"/>
  <c r="AG81" i="11"/>
  <c r="H89" i="11"/>
  <c r="AG89" i="11"/>
  <c r="H84" i="11"/>
  <c r="AG84" i="11"/>
  <c r="H88" i="11"/>
  <c r="AG88" i="11"/>
  <c r="D200" i="11" a="1"/>
  <c r="D200" i="11" s="1"/>
  <c r="E201" i="11" a="1"/>
  <c r="E201" i="11" s="1"/>
  <c r="D201" i="11" a="1"/>
  <c r="D201" i="11" s="1"/>
  <c r="K188" i="11"/>
  <c r="G188" i="11"/>
  <c r="F188" i="11"/>
  <c r="D188" i="11"/>
  <c r="E188" i="11"/>
  <c r="H188" i="11"/>
  <c r="I188" i="11"/>
  <c r="J188" i="11"/>
  <c r="G192" i="11"/>
  <c r="D192" i="11"/>
  <c r="H192" i="11"/>
  <c r="F192" i="11"/>
  <c r="I192" i="11"/>
  <c r="J192" i="11"/>
  <c r="K192" i="11"/>
  <c r="E192" i="11"/>
  <c r="J187" i="11"/>
  <c r="K187" i="11"/>
  <c r="G187" i="11"/>
  <c r="D187" i="11"/>
  <c r="I187" i="11"/>
  <c r="F187" i="11"/>
  <c r="E187" i="11"/>
  <c r="H187" i="11"/>
  <c r="D189" i="11"/>
  <c r="D193" i="11" s="1"/>
  <c r="E189" i="11"/>
  <c r="E193" i="11" s="1"/>
  <c r="F189" i="11"/>
  <c r="F193" i="11" s="1"/>
  <c r="H189" i="11"/>
  <c r="H193" i="11" s="1"/>
  <c r="I189" i="11"/>
  <c r="J189" i="11"/>
  <c r="J193" i="11" s="1"/>
  <c r="G189" i="11"/>
  <c r="G193" i="11" s="1"/>
  <c r="K189" i="11"/>
  <c r="I186" i="11"/>
  <c r="J186" i="11"/>
  <c r="K186" i="11"/>
  <c r="D186" i="11"/>
  <c r="G186" i="11"/>
  <c r="E186" i="11"/>
  <c r="F186" i="11"/>
  <c r="H186" i="11"/>
  <c r="E190" i="11"/>
  <c r="J190" i="11"/>
  <c r="F190" i="11"/>
  <c r="H190" i="11"/>
  <c r="I190" i="11"/>
  <c r="G190" i="11"/>
  <c r="K190" i="11"/>
  <c r="D190" i="11"/>
  <c r="H191" i="11"/>
  <c r="G191" i="11"/>
  <c r="E191" i="11"/>
  <c r="I191" i="11"/>
  <c r="F191" i="11"/>
  <c r="C191" i="11"/>
  <c r="J191" i="11"/>
  <c r="K191" i="11"/>
  <c r="L191" i="11"/>
  <c r="D191" i="11"/>
  <c r="E178" i="11"/>
  <c r="F178" i="11"/>
  <c r="G178" i="11"/>
  <c r="H178" i="11"/>
  <c r="I178" i="11"/>
  <c r="J178" i="11"/>
  <c r="K178" i="11"/>
  <c r="D178" i="11"/>
  <c r="C64" i="11"/>
  <c r="I64" i="11" s="1"/>
  <c r="G172" i="11"/>
  <c r="H172" i="11"/>
  <c r="I172" i="11"/>
  <c r="J172" i="11"/>
  <c r="K172" i="11"/>
  <c r="D172" i="11"/>
  <c r="E172" i="11"/>
  <c r="F172" i="11"/>
  <c r="H173" i="11"/>
  <c r="I173" i="11"/>
  <c r="J173" i="11"/>
  <c r="K173" i="11"/>
  <c r="D173" i="11"/>
  <c r="E173" i="11"/>
  <c r="F173" i="11"/>
  <c r="G173" i="11"/>
  <c r="I174" i="11"/>
  <c r="J174" i="11"/>
  <c r="K174" i="11"/>
  <c r="D174" i="11"/>
  <c r="E174" i="11"/>
  <c r="F174" i="11"/>
  <c r="G174" i="11"/>
  <c r="H174" i="11"/>
  <c r="C62" i="11"/>
  <c r="I62" i="11" s="1"/>
  <c r="J175" i="11"/>
  <c r="J179" i="11" s="1"/>
  <c r="K175" i="11"/>
  <c r="K179" i="11" s="1"/>
  <c r="D175" i="11"/>
  <c r="E175" i="11"/>
  <c r="E179" i="11" s="1"/>
  <c r="F175" i="11"/>
  <c r="F179" i="11" s="1"/>
  <c r="G175" i="11"/>
  <c r="G179" i="11" s="1"/>
  <c r="H175" i="11"/>
  <c r="H179" i="11" s="1"/>
  <c r="I175" i="11"/>
  <c r="I179" i="11" s="1"/>
  <c r="M81" i="11"/>
  <c r="K176" i="11"/>
  <c r="D176" i="11"/>
  <c r="E176" i="11"/>
  <c r="F176" i="11"/>
  <c r="G176" i="11"/>
  <c r="H176" i="11"/>
  <c r="I176" i="11"/>
  <c r="J176" i="11"/>
  <c r="F63" i="11"/>
  <c r="F51" i="11"/>
  <c r="F64" i="11"/>
  <c r="C60" i="11"/>
  <c r="C63" i="11"/>
  <c r="I63" i="11" s="1"/>
  <c r="F54" i="11"/>
  <c r="F60" i="11"/>
  <c r="M83" i="11"/>
  <c r="M86" i="11"/>
  <c r="M84" i="11"/>
  <c r="M94" i="11"/>
  <c r="J94" i="11"/>
  <c r="E69" i="11"/>
  <c r="F69" i="11" s="1"/>
  <c r="J89" i="11"/>
  <c r="J81" i="11"/>
  <c r="J84" i="11"/>
  <c r="I69" i="11"/>
  <c r="J69" i="11" s="1"/>
  <c r="I73" i="11"/>
  <c r="J73" i="11" s="1"/>
  <c r="J86" i="11"/>
  <c r="I71" i="11"/>
  <c r="J71" i="11" s="1"/>
  <c r="I70" i="11"/>
  <c r="I74" i="11"/>
  <c r="J87" i="11"/>
  <c r="J83" i="11"/>
  <c r="M88" i="11"/>
  <c r="J85" i="11"/>
  <c r="M82" i="11"/>
  <c r="I75" i="11"/>
  <c r="J75" i="11" s="1"/>
  <c r="I72" i="11"/>
  <c r="J72" i="11" s="1"/>
  <c r="E75" i="11"/>
  <c r="F75" i="11" s="1"/>
  <c r="E72" i="11"/>
  <c r="F72" i="11" s="1"/>
  <c r="E73" i="11"/>
  <c r="F73" i="11" s="1"/>
  <c r="E70" i="11"/>
  <c r="F70" i="11" s="1"/>
  <c r="E71" i="11"/>
  <c r="F71" i="11" s="1"/>
  <c r="E74" i="11"/>
  <c r="K193" i="11" l="1"/>
  <c r="K194" i="11" s="1"/>
  <c r="D179" i="11"/>
  <c r="D180" i="11" s="1"/>
  <c r="I193" i="11"/>
  <c r="I194" i="11" s="1"/>
  <c r="J194" i="11"/>
  <c r="G64" i="11"/>
  <c r="G62" i="11"/>
  <c r="G194" i="11"/>
  <c r="C15" i="11"/>
  <c r="H180" i="11"/>
  <c r="J180" i="11"/>
  <c r="E194" i="11"/>
  <c r="D6" i="11"/>
  <c r="C6" i="11"/>
  <c r="G180" i="11"/>
  <c r="D194" i="11"/>
  <c r="I61" i="11"/>
  <c r="E180" i="11"/>
  <c r="F180" i="11"/>
  <c r="H194" i="11"/>
  <c r="I180" i="11"/>
  <c r="K180" i="11"/>
  <c r="F194" i="11"/>
  <c r="G61" i="11"/>
  <c r="I60" i="11"/>
  <c r="G60" i="11"/>
  <c r="G63" i="11"/>
  <c r="R142" i="15"/>
  <c r="R141" i="15"/>
  <c r="AA141" i="15" s="1"/>
  <c r="R140" i="15"/>
  <c r="AE140" i="15" s="1"/>
  <c r="R139" i="15"/>
  <c r="S139" i="15" s="1"/>
  <c r="R138" i="15"/>
  <c r="AE138" i="15" s="1"/>
  <c r="R137" i="15"/>
  <c r="AE137" i="15" s="1"/>
  <c r="R136" i="15"/>
  <c r="AE136" i="15" s="1"/>
  <c r="R135" i="15"/>
  <c r="AE135" i="15" s="1"/>
  <c r="R134" i="15"/>
  <c r="AE134" i="15" s="1"/>
  <c r="D142" i="15"/>
  <c r="D141" i="15"/>
  <c r="K141" i="15" s="1"/>
  <c r="D140" i="15"/>
  <c r="P140" i="15" s="1"/>
  <c r="D139" i="15"/>
  <c r="P139" i="15" s="1"/>
  <c r="D138" i="15"/>
  <c r="J138" i="15" s="1"/>
  <c r="D137" i="15"/>
  <c r="P137" i="15" s="1"/>
  <c r="D136" i="15"/>
  <c r="L136" i="15" s="1"/>
  <c r="D135" i="15"/>
  <c r="Q135" i="15" s="1"/>
  <c r="D134" i="15"/>
  <c r="N134" i="15" s="1"/>
  <c r="R128" i="15"/>
  <c r="R127" i="15"/>
  <c r="AE127" i="15" s="1"/>
  <c r="R126" i="15"/>
  <c r="AE126" i="15" s="1"/>
  <c r="R125" i="15"/>
  <c r="AE125" i="15" s="1"/>
  <c r="R124" i="15"/>
  <c r="R123" i="15"/>
  <c r="AE123" i="15" s="1"/>
  <c r="R122" i="15"/>
  <c r="R121" i="15"/>
  <c r="R120" i="15"/>
  <c r="D128" i="15"/>
  <c r="D127" i="15"/>
  <c r="F127" i="15" s="1"/>
  <c r="D126" i="15"/>
  <c r="N126" i="15" s="1"/>
  <c r="D125" i="15"/>
  <c r="D124" i="15"/>
  <c r="L124" i="15" s="1"/>
  <c r="D123" i="15"/>
  <c r="O123" i="15" s="1"/>
  <c r="D122" i="15"/>
  <c r="J122" i="15" s="1"/>
  <c r="D121" i="15"/>
  <c r="D120" i="15"/>
  <c r="P120" i="15" s="1"/>
  <c r="R114" i="15"/>
  <c r="R113" i="15"/>
  <c r="W113" i="15" s="1"/>
  <c r="R112" i="15"/>
  <c r="AD112" i="15" s="1"/>
  <c r="R111" i="15"/>
  <c r="Y111" i="15" s="1"/>
  <c r="R110" i="15"/>
  <c r="Z110" i="15" s="1"/>
  <c r="R109" i="15"/>
  <c r="T109" i="15" s="1"/>
  <c r="R108" i="15"/>
  <c r="R107" i="15"/>
  <c r="U107" i="15" s="1"/>
  <c r="R106" i="15"/>
  <c r="AB106" i="15" s="1"/>
  <c r="R86" i="15"/>
  <c r="AD86" i="15" s="1"/>
  <c r="R85" i="15"/>
  <c r="V85" i="15" s="1"/>
  <c r="R84" i="15"/>
  <c r="AE84" i="15" s="1"/>
  <c r="R83" i="15"/>
  <c r="U83" i="15" s="1"/>
  <c r="R82" i="15"/>
  <c r="S82" i="15" s="1"/>
  <c r="R81" i="15"/>
  <c r="S81" i="15" s="1"/>
  <c r="R80" i="15"/>
  <c r="AB80" i="15" s="1"/>
  <c r="R79" i="15"/>
  <c r="V79" i="15" s="1"/>
  <c r="D114" i="15"/>
  <c r="D113" i="15"/>
  <c r="E113" i="15" s="1"/>
  <c r="D112" i="15"/>
  <c r="P112" i="15" s="1"/>
  <c r="D111" i="15"/>
  <c r="P111" i="15" s="1"/>
  <c r="D110" i="15"/>
  <c r="D109" i="15"/>
  <c r="P109" i="15" s="1"/>
  <c r="D108" i="15"/>
  <c r="D107" i="15"/>
  <c r="D106" i="15"/>
  <c r="L106" i="15" s="1"/>
  <c r="R78" i="15"/>
  <c r="AE78" i="15" s="1"/>
  <c r="D86" i="15"/>
  <c r="P86" i="15" s="1"/>
  <c r="D85" i="15"/>
  <c r="K85" i="15" s="1"/>
  <c r="D84" i="15"/>
  <c r="P84" i="15" s="1"/>
  <c r="D83" i="15"/>
  <c r="P83" i="15" s="1"/>
  <c r="D82" i="15"/>
  <c r="P82" i="15" s="1"/>
  <c r="D81" i="15"/>
  <c r="P81" i="15" s="1"/>
  <c r="D80" i="15"/>
  <c r="P80" i="15" s="1"/>
  <c r="D79" i="15"/>
  <c r="D78" i="15"/>
  <c r="P78" i="15" s="1"/>
  <c r="D72" i="15"/>
  <c r="D71" i="15"/>
  <c r="P71" i="15" s="1"/>
  <c r="D70" i="15"/>
  <c r="K70" i="15" s="1"/>
  <c r="D69" i="15"/>
  <c r="D68" i="15"/>
  <c r="P68" i="15" s="1"/>
  <c r="D67" i="15"/>
  <c r="G67" i="15" s="1"/>
  <c r="D66" i="15"/>
  <c r="L66" i="15" s="1"/>
  <c r="D65" i="15"/>
  <c r="D64" i="15"/>
  <c r="D44" i="15"/>
  <c r="D43" i="15"/>
  <c r="Q43" i="15" s="1"/>
  <c r="D42" i="15"/>
  <c r="E42" i="15" s="1"/>
  <c r="D41" i="15"/>
  <c r="P41" i="15" s="1"/>
  <c r="D40" i="15"/>
  <c r="I40" i="15" s="1"/>
  <c r="D39" i="15"/>
  <c r="D38" i="15"/>
  <c r="D37" i="15"/>
  <c r="D36" i="15"/>
  <c r="R72" i="15"/>
  <c r="R71" i="15"/>
  <c r="R70" i="15"/>
  <c r="R69" i="15"/>
  <c r="R68" i="15"/>
  <c r="Y68" i="15" s="1"/>
  <c r="R67" i="15"/>
  <c r="R66" i="15"/>
  <c r="R65" i="15"/>
  <c r="R64" i="15"/>
  <c r="L70" i="15"/>
  <c r="R44" i="15"/>
  <c r="R43" i="15"/>
  <c r="AE43" i="15" s="1"/>
  <c r="R42" i="15"/>
  <c r="R41" i="15"/>
  <c r="AE41" i="15" s="1"/>
  <c r="R40" i="15"/>
  <c r="R39" i="15"/>
  <c r="X39" i="15" s="1"/>
  <c r="R38" i="15"/>
  <c r="R37" i="15"/>
  <c r="R36" i="15"/>
  <c r="AE36" i="15" s="1"/>
  <c r="R30" i="15"/>
  <c r="R29" i="15"/>
  <c r="X29" i="15" s="1"/>
  <c r="R28" i="15"/>
  <c r="R27" i="15"/>
  <c r="X27" i="15" s="1"/>
  <c r="R26" i="15"/>
  <c r="R25" i="15"/>
  <c r="AD25" i="15" s="1"/>
  <c r="R24" i="15"/>
  <c r="R23" i="15"/>
  <c r="R22" i="15"/>
  <c r="AE22" i="15" s="1"/>
  <c r="D30" i="15"/>
  <c r="D29" i="15"/>
  <c r="P29" i="15" s="1"/>
  <c r="D28" i="15"/>
  <c r="D27" i="15"/>
  <c r="P27" i="15" s="1"/>
  <c r="D26" i="15"/>
  <c r="D25" i="15"/>
  <c r="P25" i="15" s="1"/>
  <c r="D24" i="15"/>
  <c r="D23" i="15"/>
  <c r="D22" i="15"/>
  <c r="P22" i="15" s="1"/>
  <c r="G71" i="15" l="1"/>
  <c r="F70" i="15"/>
  <c r="E70" i="15"/>
  <c r="G70" i="15"/>
  <c r="J70" i="15"/>
  <c r="W82" i="15"/>
  <c r="S83" i="15"/>
  <c r="Z83" i="15"/>
  <c r="AC80" i="15"/>
  <c r="L42" i="15"/>
  <c r="S79" i="15"/>
  <c r="AC83" i="15"/>
  <c r="S80" i="15"/>
  <c r="U79" i="15"/>
  <c r="Y83" i="15"/>
  <c r="W85" i="15"/>
  <c r="X69" i="15"/>
  <c r="S84" i="15"/>
  <c r="X82" i="15"/>
  <c r="AA84" i="15"/>
  <c r="AD84" i="15"/>
  <c r="T82" i="15"/>
  <c r="X84" i="15"/>
  <c r="AB82" i="15"/>
  <c r="AA82" i="15"/>
  <c r="T84" i="15"/>
  <c r="AB84" i="15"/>
  <c r="S78" i="15"/>
  <c r="Y84" i="15"/>
  <c r="AC79" i="15"/>
  <c r="AD82" i="15"/>
  <c r="AB43" i="15"/>
  <c r="T72" i="15"/>
  <c r="U84" i="15"/>
  <c r="Z82" i="15"/>
  <c r="W84" i="15"/>
  <c r="Z84" i="15"/>
  <c r="AC84" i="15"/>
  <c r="W78" i="15"/>
  <c r="Y79" i="15"/>
  <c r="AA83" i="15"/>
  <c r="W79" i="15"/>
  <c r="V125" i="15"/>
  <c r="T43" i="15"/>
  <c r="AD83" i="15"/>
  <c r="S124" i="15"/>
  <c r="W83" i="15"/>
  <c r="Z79" i="15"/>
  <c r="Y24" i="15"/>
  <c r="AA135" i="15"/>
  <c r="T30" i="15"/>
  <c r="V107" i="15"/>
  <c r="W138" i="15"/>
  <c r="Z24" i="15"/>
  <c r="U36" i="15"/>
  <c r="X41" i="15"/>
  <c r="AC36" i="15"/>
  <c r="U65" i="15"/>
  <c r="X71" i="15"/>
  <c r="V114" i="15"/>
  <c r="Z121" i="15"/>
  <c r="AB125" i="15"/>
  <c r="S126" i="15"/>
  <c r="AC135" i="15"/>
  <c r="Y138" i="15"/>
  <c r="X121" i="15"/>
  <c r="W27" i="15"/>
  <c r="U42" i="15"/>
  <c r="Y38" i="15"/>
  <c r="U71" i="15"/>
  <c r="T78" i="15"/>
  <c r="T123" i="15"/>
  <c r="AD125" i="15"/>
  <c r="W136" i="15"/>
  <c r="S22" i="15"/>
  <c r="T28" i="15"/>
  <c r="U44" i="15"/>
  <c r="Y40" i="15"/>
  <c r="V64" i="15"/>
  <c r="Y70" i="15"/>
  <c r="Z123" i="15"/>
  <c r="Y126" i="15"/>
  <c r="Y136" i="15"/>
  <c r="W140" i="15"/>
  <c r="Z86" i="15"/>
  <c r="AA22" i="15"/>
  <c r="Z25" i="15"/>
  <c r="V28" i="15"/>
  <c r="S36" i="15"/>
  <c r="V41" i="15"/>
  <c r="Z37" i="15"/>
  <c r="AD41" i="15"/>
  <c r="V70" i="15"/>
  <c r="Z67" i="15"/>
  <c r="AA86" i="15"/>
  <c r="S107" i="15"/>
  <c r="AB123" i="15"/>
  <c r="AA126" i="15"/>
  <c r="W134" i="15"/>
  <c r="S137" i="15"/>
  <c r="Y140" i="15"/>
  <c r="S24" i="15"/>
  <c r="S26" i="15"/>
  <c r="S38" i="15"/>
  <c r="V43" i="15"/>
  <c r="AA36" i="15"/>
  <c r="AD43" i="15"/>
  <c r="S65" i="15"/>
  <c r="W64" i="15"/>
  <c r="Z69" i="15"/>
  <c r="S109" i="15"/>
  <c r="AD106" i="15"/>
  <c r="W124" i="15"/>
  <c r="V127" i="15"/>
  <c r="Y134" i="15"/>
  <c r="U137" i="15"/>
  <c r="S141" i="15"/>
  <c r="U24" i="15"/>
  <c r="V26" i="15"/>
  <c r="V29" i="15"/>
  <c r="S42" i="15"/>
  <c r="W40" i="15"/>
  <c r="S67" i="15"/>
  <c r="W70" i="15"/>
  <c r="X78" i="15"/>
  <c r="T107" i="15"/>
  <c r="Y124" i="15"/>
  <c r="X127" i="15"/>
  <c r="S135" i="15"/>
  <c r="AA137" i="15"/>
  <c r="W142" i="15"/>
  <c r="W24" i="15"/>
  <c r="AD29" i="15"/>
  <c r="S44" i="15"/>
  <c r="W42" i="15"/>
  <c r="T64" i="15"/>
  <c r="W72" i="15"/>
  <c r="T125" i="15"/>
  <c r="AD127" i="15"/>
  <c r="U135" i="15"/>
  <c r="AC137" i="15"/>
  <c r="Y142" i="15"/>
  <c r="K40" i="15"/>
  <c r="E40" i="15"/>
  <c r="L40" i="15"/>
  <c r="F40" i="15"/>
  <c r="F42" i="15"/>
  <c r="G40" i="15"/>
  <c r="H40" i="15"/>
  <c r="H70" i="15"/>
  <c r="I70" i="15"/>
  <c r="I68" i="15"/>
  <c r="L41" i="15"/>
  <c r="F68" i="15"/>
  <c r="G41" i="15"/>
  <c r="E41" i="15"/>
  <c r="H41" i="15"/>
  <c r="Q41" i="15"/>
  <c r="J68" i="15"/>
  <c r="N68" i="15"/>
  <c r="M41" i="15"/>
  <c r="I41" i="15"/>
  <c r="G68" i="15"/>
  <c r="K68" i="15"/>
  <c r="O68" i="15"/>
  <c r="M68" i="15"/>
  <c r="H68" i="15"/>
  <c r="L68" i="15"/>
  <c r="Q68" i="15"/>
  <c r="J86" i="15"/>
  <c r="L114" i="15"/>
  <c r="G126" i="15"/>
  <c r="F41" i="15"/>
  <c r="J41" i="15"/>
  <c r="N41" i="15"/>
  <c r="K41" i="15"/>
  <c r="O41" i="15"/>
  <c r="E68" i="15"/>
  <c r="J24" i="15"/>
  <c r="K122" i="15"/>
  <c r="G136" i="15"/>
  <c r="K25" i="15"/>
  <c r="F84" i="15"/>
  <c r="M112" i="15"/>
  <c r="Q123" i="15"/>
  <c r="I140" i="15"/>
  <c r="M29" i="15"/>
  <c r="L141" i="15"/>
  <c r="M85" i="15"/>
  <c r="K128" i="15"/>
  <c r="E29" i="15"/>
  <c r="O83" i="15"/>
  <c r="F114" i="15"/>
  <c r="G24" i="15"/>
  <c r="I109" i="15"/>
  <c r="H24" i="15"/>
  <c r="I25" i="15"/>
  <c r="E124" i="15"/>
  <c r="E25" i="15"/>
  <c r="G29" i="15"/>
  <c r="I30" i="15"/>
  <c r="O29" i="15"/>
  <c r="H42" i="15"/>
  <c r="K38" i="15"/>
  <c r="J69" i="15"/>
  <c r="G83" i="15"/>
  <c r="L78" i="15"/>
  <c r="Q82" i="15"/>
  <c r="F106" i="15"/>
  <c r="J108" i="15"/>
  <c r="Q109" i="15"/>
  <c r="I120" i="15"/>
  <c r="H123" i="15"/>
  <c r="O126" i="15"/>
  <c r="I134" i="15"/>
  <c r="O136" i="15"/>
  <c r="Q140" i="15"/>
  <c r="E26" i="15"/>
  <c r="H23" i="15"/>
  <c r="J22" i="15"/>
  <c r="I38" i="15"/>
  <c r="F65" i="15"/>
  <c r="H80" i="15"/>
  <c r="M83" i="15"/>
  <c r="F112" i="15"/>
  <c r="J110" i="15"/>
  <c r="M106" i="15"/>
  <c r="Q111" i="15"/>
  <c r="K120" i="15"/>
  <c r="J123" i="15"/>
  <c r="I128" i="15"/>
  <c r="O134" i="15"/>
  <c r="J137" i="15"/>
  <c r="F141" i="15"/>
  <c r="H82" i="15"/>
  <c r="K109" i="15"/>
  <c r="F121" i="15"/>
  <c r="Q134" i="15"/>
  <c r="E138" i="15"/>
  <c r="H69" i="15"/>
  <c r="F25" i="15"/>
  <c r="H26" i="15"/>
  <c r="J29" i="15"/>
  <c r="N25" i="15"/>
  <c r="E38" i="15"/>
  <c r="K42" i="15"/>
  <c r="F69" i="15"/>
  <c r="K69" i="15"/>
  <c r="E83" i="15"/>
  <c r="I81" i="15"/>
  <c r="N82" i="15"/>
  <c r="G111" i="15"/>
  <c r="L81" i="15"/>
  <c r="H121" i="15"/>
  <c r="G124" i="15"/>
  <c r="J135" i="15"/>
  <c r="K138" i="15"/>
  <c r="N141" i="15"/>
  <c r="F26" i="15"/>
  <c r="I22" i="15"/>
  <c r="J30" i="15"/>
  <c r="I42" i="15"/>
  <c r="E85" i="15"/>
  <c r="J78" i="15"/>
  <c r="N84" i="15"/>
  <c r="H110" i="15"/>
  <c r="N111" i="15"/>
  <c r="L135" i="15"/>
  <c r="M138" i="15"/>
  <c r="G142" i="15"/>
  <c r="G23" i="15"/>
  <c r="I23" i="15"/>
  <c r="K23" i="15"/>
  <c r="G42" i="15"/>
  <c r="J38" i="15"/>
  <c r="I69" i="15"/>
  <c r="F82" i="15"/>
  <c r="J80" i="15"/>
  <c r="O81" i="15"/>
  <c r="H112" i="15"/>
  <c r="L108" i="15"/>
  <c r="N113" i="15"/>
  <c r="E136" i="15"/>
  <c r="I142" i="15"/>
  <c r="P43" i="15"/>
  <c r="L69" i="15"/>
  <c r="E23" i="15"/>
  <c r="G25" i="15"/>
  <c r="I29" i="15"/>
  <c r="K29" i="15"/>
  <c r="O25" i="15"/>
  <c r="F38" i="15"/>
  <c r="J42" i="15"/>
  <c r="E69" i="15"/>
  <c r="G69" i="15"/>
  <c r="G81" i="15"/>
  <c r="Q80" i="15"/>
  <c r="I111" i="15"/>
  <c r="O112" i="15"/>
  <c r="E126" i="15"/>
  <c r="I126" i="15"/>
  <c r="G134" i="15"/>
  <c r="M136" i="15"/>
  <c r="K140" i="15"/>
  <c r="P123" i="15"/>
  <c r="P79" i="15"/>
  <c r="Q79" i="15"/>
  <c r="H79" i="15"/>
  <c r="O79" i="15"/>
  <c r="G79" i="15"/>
  <c r="N79" i="15"/>
  <c r="F79" i="15"/>
  <c r="M79" i="15"/>
  <c r="E79" i="15"/>
  <c r="J79" i="15"/>
  <c r="J107" i="15"/>
  <c r="I107" i="15"/>
  <c r="H107" i="15"/>
  <c r="G107" i="15"/>
  <c r="F107" i="15"/>
  <c r="L107" i="15"/>
  <c r="E107" i="15"/>
  <c r="AE120" i="15"/>
  <c r="Z120" i="15"/>
  <c r="Y120" i="15"/>
  <c r="X120" i="15"/>
  <c r="S120" i="15"/>
  <c r="W120" i="15"/>
  <c r="AD120" i="15"/>
  <c r="V120" i="15"/>
  <c r="AB120" i="15"/>
  <c r="T120" i="15"/>
  <c r="AC120" i="15"/>
  <c r="U120" i="15"/>
  <c r="Z128" i="15"/>
  <c r="Y128" i="15"/>
  <c r="X128" i="15"/>
  <c r="S128" i="15"/>
  <c r="W128" i="15"/>
  <c r="V128" i="15"/>
  <c r="T128" i="15"/>
  <c r="U128" i="15"/>
  <c r="E28" i="15"/>
  <c r="F27" i="15"/>
  <c r="G26" i="15"/>
  <c r="H25" i="15"/>
  <c r="I24" i="15"/>
  <c r="J23" i="15"/>
  <c r="K22" i="15"/>
  <c r="K30" i="15"/>
  <c r="L29" i="15"/>
  <c r="N27" i="15"/>
  <c r="Q25" i="15"/>
  <c r="T22" i="15"/>
  <c r="AB22" i="15"/>
  <c r="X23" i="15"/>
  <c r="T24" i="15"/>
  <c r="V27" i="15"/>
  <c r="Z28" i="15"/>
  <c r="V30" i="15"/>
  <c r="AE39" i="15"/>
  <c r="W39" i="15"/>
  <c r="AD39" i="15"/>
  <c r="V39" i="15"/>
  <c r="AC39" i="15"/>
  <c r="U39" i="15"/>
  <c r="AB39" i="15"/>
  <c r="T39" i="15"/>
  <c r="AA39" i="15"/>
  <c r="S39" i="15"/>
  <c r="Y39" i="15"/>
  <c r="Z39" i="15"/>
  <c r="Z66" i="15"/>
  <c r="Y66" i="15"/>
  <c r="X66" i="15"/>
  <c r="W66" i="15"/>
  <c r="V66" i="15"/>
  <c r="U66" i="15"/>
  <c r="S66" i="15"/>
  <c r="I79" i="15"/>
  <c r="Y108" i="15"/>
  <c r="X108" i="15"/>
  <c r="W108" i="15"/>
  <c r="V108" i="15"/>
  <c r="U108" i="15"/>
  <c r="Z108" i="15"/>
  <c r="T108" i="15"/>
  <c r="S108" i="15"/>
  <c r="AA120" i="15"/>
  <c r="M27" i="15"/>
  <c r="F28" i="15"/>
  <c r="L30" i="15"/>
  <c r="O27" i="15"/>
  <c r="AC22" i="15"/>
  <c r="T122" i="15"/>
  <c r="S122" i="15"/>
  <c r="Z122" i="15"/>
  <c r="Y122" i="15"/>
  <c r="X122" i="15"/>
  <c r="V122" i="15"/>
  <c r="W122" i="15"/>
  <c r="U122" i="15"/>
  <c r="E22" i="15"/>
  <c r="E30" i="15"/>
  <c r="F29" i="15"/>
  <c r="G28" i="15"/>
  <c r="H27" i="15"/>
  <c r="I26" i="15"/>
  <c r="J25" i="15"/>
  <c r="K24" i="15"/>
  <c r="L23" i="15"/>
  <c r="M22" i="15"/>
  <c r="N29" i="15"/>
  <c r="Q27" i="15"/>
  <c r="Y26" i="15"/>
  <c r="X26" i="15"/>
  <c r="W26" i="15"/>
  <c r="U26" i="15"/>
  <c r="V22" i="15"/>
  <c r="AD22" i="15"/>
  <c r="Z23" i="15"/>
  <c r="V24" i="15"/>
  <c r="T26" i="15"/>
  <c r="T37" i="15"/>
  <c r="AE68" i="15"/>
  <c r="X68" i="15"/>
  <c r="W68" i="15"/>
  <c r="V68" i="15"/>
  <c r="AD68" i="15"/>
  <c r="U68" i="15"/>
  <c r="AC68" i="15"/>
  <c r="T68" i="15"/>
  <c r="AB68" i="15"/>
  <c r="S68" i="15"/>
  <c r="Z68" i="15"/>
  <c r="T66" i="15"/>
  <c r="AA68" i="15"/>
  <c r="AC86" i="15"/>
  <c r="AE86" i="15"/>
  <c r="S86" i="15"/>
  <c r="X86" i="15"/>
  <c r="AB86" i="15"/>
  <c r="T86" i="15"/>
  <c r="V86" i="15"/>
  <c r="W86" i="15"/>
  <c r="W110" i="15"/>
  <c r="V110" i="15"/>
  <c r="U110" i="15"/>
  <c r="T110" i="15"/>
  <c r="Y110" i="15"/>
  <c r="X110" i="15"/>
  <c r="S110" i="15"/>
  <c r="E27" i="15"/>
  <c r="L28" i="15"/>
  <c r="W23" i="15"/>
  <c r="P39" i="15"/>
  <c r="L39" i="15"/>
  <c r="M39" i="15"/>
  <c r="AE25" i="15"/>
  <c r="AC25" i="15"/>
  <c r="U25" i="15"/>
  <c r="AB25" i="15"/>
  <c r="T25" i="15"/>
  <c r="AA25" i="15"/>
  <c r="Y25" i="15"/>
  <c r="AE27" i="15"/>
  <c r="AC27" i="15"/>
  <c r="U27" i="15"/>
  <c r="AB27" i="15"/>
  <c r="T27" i="15"/>
  <c r="AA27" i="15"/>
  <c r="S27" i="15"/>
  <c r="Y27" i="15"/>
  <c r="W22" i="15"/>
  <c r="S25" i="15"/>
  <c r="Z27" i="15"/>
  <c r="G27" i="15"/>
  <c r="L22" i="15"/>
  <c r="Y23" i="15"/>
  <c r="F22" i="15"/>
  <c r="F30" i="15"/>
  <c r="H28" i="15"/>
  <c r="I27" i="15"/>
  <c r="J26" i="15"/>
  <c r="L24" i="15"/>
  <c r="N22" i="15"/>
  <c r="S23" i="15"/>
  <c r="E24" i="15"/>
  <c r="F23" i="15"/>
  <c r="G22" i="15"/>
  <c r="G30" i="15"/>
  <c r="H29" i="15"/>
  <c r="I28" i="15"/>
  <c r="J27" i="15"/>
  <c r="K26" i="15"/>
  <c r="L25" i="15"/>
  <c r="O22" i="15"/>
  <c r="Q29" i="15"/>
  <c r="Y28" i="15"/>
  <c r="X28" i="15"/>
  <c r="W28" i="15"/>
  <c r="U28" i="15"/>
  <c r="X22" i="15"/>
  <c r="T23" i="15"/>
  <c r="X24" i="15"/>
  <c r="V25" i="15"/>
  <c r="Z26" i="15"/>
  <c r="AD27" i="15"/>
  <c r="K107" i="15"/>
  <c r="AE80" i="15"/>
  <c r="U80" i="15"/>
  <c r="Z80" i="15"/>
  <c r="AD80" i="15"/>
  <c r="AA80" i="15"/>
  <c r="W80" i="15"/>
  <c r="V80" i="15"/>
  <c r="X80" i="15"/>
  <c r="Y80" i="15"/>
  <c r="T80" i="15"/>
  <c r="AE139" i="15"/>
  <c r="Z139" i="15"/>
  <c r="Y139" i="15"/>
  <c r="X139" i="15"/>
  <c r="W139" i="15"/>
  <c r="AD139" i="15"/>
  <c r="V139" i="15"/>
  <c r="AB139" i="15"/>
  <c r="T139" i="15"/>
  <c r="AC139" i="15"/>
  <c r="AA139" i="15"/>
  <c r="U139" i="15"/>
  <c r="K66" i="15"/>
  <c r="I66" i="15"/>
  <c r="G66" i="15"/>
  <c r="E66" i="15"/>
  <c r="F66" i="15"/>
  <c r="U22" i="15"/>
  <c r="F24" i="15"/>
  <c r="H22" i="15"/>
  <c r="H30" i="15"/>
  <c r="J28" i="15"/>
  <c r="K27" i="15"/>
  <c r="L26" i="15"/>
  <c r="M25" i="15"/>
  <c r="Q22" i="15"/>
  <c r="AE29" i="15"/>
  <c r="W29" i="15"/>
  <c r="AC29" i="15"/>
  <c r="U29" i="15"/>
  <c r="AB29" i="15"/>
  <c r="T29" i="15"/>
  <c r="AA29" i="15"/>
  <c r="S29" i="15"/>
  <c r="Y29" i="15"/>
  <c r="Y22" i="15"/>
  <c r="U23" i="15"/>
  <c r="W25" i="15"/>
  <c r="S28" i="15"/>
  <c r="Z29" i="15"/>
  <c r="J66" i="15"/>
  <c r="L37" i="15"/>
  <c r="I72" i="15"/>
  <c r="P85" i="15"/>
  <c r="J85" i="15"/>
  <c r="L85" i="15"/>
  <c r="I85" i="15"/>
  <c r="Q85" i="15"/>
  <c r="H85" i="15"/>
  <c r="O85" i="15"/>
  <c r="G85" i="15"/>
  <c r="N85" i="15"/>
  <c r="F85" i="15"/>
  <c r="K79" i="15"/>
  <c r="P113" i="15"/>
  <c r="L113" i="15"/>
  <c r="K113" i="15"/>
  <c r="J113" i="15"/>
  <c r="Q113" i="15"/>
  <c r="I113" i="15"/>
  <c r="O113" i="15"/>
  <c r="H113" i="15"/>
  <c r="M113" i="15"/>
  <c r="F113" i="15"/>
  <c r="G113" i="15"/>
  <c r="K28" i="15"/>
  <c r="L27" i="15"/>
  <c r="S30" i="15"/>
  <c r="Z30" i="15"/>
  <c r="Y30" i="15"/>
  <c r="X30" i="15"/>
  <c r="W30" i="15"/>
  <c r="U30" i="15"/>
  <c r="Z22" i="15"/>
  <c r="V23" i="15"/>
  <c r="X25" i="15"/>
  <c r="Y37" i="15"/>
  <c r="X37" i="15"/>
  <c r="W37" i="15"/>
  <c r="V37" i="15"/>
  <c r="U37" i="15"/>
  <c r="S37" i="15"/>
  <c r="H66" i="15"/>
  <c r="L79" i="15"/>
  <c r="I125" i="15"/>
  <c r="Q125" i="15"/>
  <c r="H125" i="15"/>
  <c r="O125" i="15"/>
  <c r="G125" i="15"/>
  <c r="P125" i="15"/>
  <c r="N125" i="15"/>
  <c r="F125" i="15"/>
  <c r="M125" i="15"/>
  <c r="K125" i="15"/>
  <c r="E125" i="15"/>
  <c r="L125" i="15"/>
  <c r="J125" i="15"/>
  <c r="AE141" i="15"/>
  <c r="Z141" i="15"/>
  <c r="Y141" i="15"/>
  <c r="X141" i="15"/>
  <c r="W141" i="15"/>
  <c r="AD141" i="15"/>
  <c r="V141" i="15"/>
  <c r="AB141" i="15"/>
  <c r="T141" i="15"/>
  <c r="AC141" i="15"/>
  <c r="U141" i="15"/>
  <c r="T36" i="15"/>
  <c r="T44" i="15"/>
  <c r="U43" i="15"/>
  <c r="V42" i="15"/>
  <c r="W41" i="15"/>
  <c r="X40" i="15"/>
  <c r="Z38" i="15"/>
  <c r="AB36" i="15"/>
  <c r="AC43" i="15"/>
  <c r="T65" i="15"/>
  <c r="U64" i="15"/>
  <c r="U72" i="15"/>
  <c r="V71" i="15"/>
  <c r="W71" i="15"/>
  <c r="X70" i="15"/>
  <c r="Y69" i="15"/>
  <c r="J65" i="15"/>
  <c r="E84" i="15"/>
  <c r="F83" i="15"/>
  <c r="G82" i="15"/>
  <c r="H81" i="15"/>
  <c r="I80" i="15"/>
  <c r="K78" i="15"/>
  <c r="K86" i="15"/>
  <c r="M84" i="15"/>
  <c r="N83" i="15"/>
  <c r="O82" i="15"/>
  <c r="Q81" i="15"/>
  <c r="AB78" i="15"/>
  <c r="E106" i="15"/>
  <c r="P106" i="15"/>
  <c r="E114" i="15"/>
  <c r="G112" i="15"/>
  <c r="H111" i="15"/>
  <c r="I110" i="15"/>
  <c r="J109" i="15"/>
  <c r="K108" i="15"/>
  <c r="L80" i="15"/>
  <c r="AD79" i="15"/>
  <c r="AE79" i="15"/>
  <c r="V78" i="15"/>
  <c r="N112" i="15"/>
  <c r="O111" i="15"/>
  <c r="AE109" i="15"/>
  <c r="X109" i="15"/>
  <c r="W109" i="15"/>
  <c r="AD109" i="15"/>
  <c r="V109" i="15"/>
  <c r="AC109" i="15"/>
  <c r="U109" i="15"/>
  <c r="AB109" i="15"/>
  <c r="Z109" i="15"/>
  <c r="V112" i="15"/>
  <c r="AC113" i="15"/>
  <c r="M139" i="15"/>
  <c r="E139" i="15"/>
  <c r="L139" i="15"/>
  <c r="K139" i="15"/>
  <c r="J139" i="15"/>
  <c r="Q139" i="15"/>
  <c r="I139" i="15"/>
  <c r="O139" i="15"/>
  <c r="G139" i="15"/>
  <c r="T38" i="15"/>
  <c r="V36" i="15"/>
  <c r="V44" i="15"/>
  <c r="W43" i="15"/>
  <c r="X42" i="15"/>
  <c r="Y41" i="15"/>
  <c r="Z40" i="15"/>
  <c r="AD36" i="15"/>
  <c r="T67" i="15"/>
  <c r="V65" i="15"/>
  <c r="W65" i="15"/>
  <c r="X64" i="15"/>
  <c r="X72" i="15"/>
  <c r="Y71" i="15"/>
  <c r="Z70" i="15"/>
  <c r="H67" i="15"/>
  <c r="E78" i="15"/>
  <c r="E86" i="15"/>
  <c r="G84" i="15"/>
  <c r="H83" i="15"/>
  <c r="I82" i="15"/>
  <c r="J81" i="15"/>
  <c r="K80" i="15"/>
  <c r="M78" i="15"/>
  <c r="M86" i="15"/>
  <c r="O84" i="15"/>
  <c r="Q83" i="15"/>
  <c r="AA78" i="15"/>
  <c r="AD78" i="15"/>
  <c r="E108" i="15"/>
  <c r="G106" i="15"/>
  <c r="G114" i="15"/>
  <c r="I112" i="15"/>
  <c r="J111" i="15"/>
  <c r="K110" i="15"/>
  <c r="L82" i="15"/>
  <c r="L109" i="15"/>
  <c r="AB81" i="15"/>
  <c r="AE81" i="15"/>
  <c r="N106" i="15"/>
  <c r="Q112" i="15"/>
  <c r="AE111" i="15"/>
  <c r="AD111" i="15"/>
  <c r="V111" i="15"/>
  <c r="AC111" i="15"/>
  <c r="U111" i="15"/>
  <c r="AB111" i="15"/>
  <c r="T111" i="15"/>
  <c r="AA111" i="15"/>
  <c r="Z111" i="15"/>
  <c r="X111" i="15"/>
  <c r="T114" i="15"/>
  <c r="W111" i="15"/>
  <c r="S40" i="15"/>
  <c r="U38" i="15"/>
  <c r="W36" i="15"/>
  <c r="W44" i="15"/>
  <c r="X43" i="15"/>
  <c r="Y42" i="15"/>
  <c r="Z41" i="15"/>
  <c r="S69" i="15"/>
  <c r="U67" i="15"/>
  <c r="X65" i="15"/>
  <c r="Y64" i="15"/>
  <c r="Y72" i="15"/>
  <c r="Z71" i="15"/>
  <c r="F78" i="15"/>
  <c r="F86" i="15"/>
  <c r="H84" i="15"/>
  <c r="I83" i="15"/>
  <c r="J82" i="15"/>
  <c r="K81" i="15"/>
  <c r="N78" i="15"/>
  <c r="N86" i="15"/>
  <c r="Q84" i="15"/>
  <c r="Z78" i="15"/>
  <c r="E109" i="15"/>
  <c r="F108" i="15"/>
  <c r="H106" i="15"/>
  <c r="H114" i="15"/>
  <c r="J112" i="15"/>
  <c r="K111" i="15"/>
  <c r="L83" i="15"/>
  <c r="L110" i="15"/>
  <c r="Y82" i="15"/>
  <c r="AE82" i="15"/>
  <c r="V81" i="15"/>
  <c r="O106" i="15"/>
  <c r="AE112" i="15"/>
  <c r="AC112" i="15"/>
  <c r="U112" i="15"/>
  <c r="AB112" i="15"/>
  <c r="T112" i="15"/>
  <c r="AA112" i="15"/>
  <c r="S112" i="15"/>
  <c r="Z112" i="15"/>
  <c r="Y112" i="15"/>
  <c r="W112" i="15"/>
  <c r="S111" i="15"/>
  <c r="AA109" i="15"/>
  <c r="K127" i="15"/>
  <c r="P127" i="15"/>
  <c r="J127" i="15"/>
  <c r="I127" i="15"/>
  <c r="Q127" i="15"/>
  <c r="H127" i="15"/>
  <c r="O127" i="15"/>
  <c r="G127" i="15"/>
  <c r="E127" i="15"/>
  <c r="M127" i="15"/>
  <c r="L127" i="15"/>
  <c r="S41" i="15"/>
  <c r="T40" i="15"/>
  <c r="V38" i="15"/>
  <c r="X36" i="15"/>
  <c r="X44" i="15"/>
  <c r="Y43" i="15"/>
  <c r="Z42" i="15"/>
  <c r="AA41" i="15"/>
  <c r="S70" i="15"/>
  <c r="T69" i="15"/>
  <c r="V67" i="15"/>
  <c r="W67" i="15"/>
  <c r="Y65" i="15"/>
  <c r="Z64" i="15"/>
  <c r="Z72" i="15"/>
  <c r="L38" i="15"/>
  <c r="E80" i="15"/>
  <c r="G78" i="15"/>
  <c r="G86" i="15"/>
  <c r="I84" i="15"/>
  <c r="J83" i="15"/>
  <c r="K82" i="15"/>
  <c r="M80" i="15"/>
  <c r="O78" i="15"/>
  <c r="O86" i="15"/>
  <c r="U78" i="15"/>
  <c r="E110" i="15"/>
  <c r="F109" i="15"/>
  <c r="G108" i="15"/>
  <c r="I106" i="15"/>
  <c r="I114" i="15"/>
  <c r="K112" i="15"/>
  <c r="L84" i="15"/>
  <c r="L111" i="15"/>
  <c r="X83" i="15"/>
  <c r="AE83" i="15"/>
  <c r="V82" i="15"/>
  <c r="M109" i="15"/>
  <c r="Q106" i="15"/>
  <c r="AE113" i="15"/>
  <c r="AB113" i="15"/>
  <c r="T113" i="15"/>
  <c r="AA113" i="15"/>
  <c r="Z113" i="15"/>
  <c r="Y113" i="15"/>
  <c r="X113" i="15"/>
  <c r="AD113" i="15"/>
  <c r="V113" i="15"/>
  <c r="S113" i="15"/>
  <c r="N127" i="15"/>
  <c r="F139" i="15"/>
  <c r="T41" i="15"/>
  <c r="U40" i="15"/>
  <c r="W38" i="15"/>
  <c r="Y36" i="15"/>
  <c r="Y44" i="15"/>
  <c r="Z43" i="15"/>
  <c r="AB41" i="15"/>
  <c r="S71" i="15"/>
  <c r="T70" i="15"/>
  <c r="U69" i="15"/>
  <c r="X67" i="15"/>
  <c r="Z65" i="15"/>
  <c r="E81" i="15"/>
  <c r="F80" i="15"/>
  <c r="H78" i="15"/>
  <c r="H86" i="15"/>
  <c r="J84" i="15"/>
  <c r="K83" i="15"/>
  <c r="M81" i="15"/>
  <c r="N80" i="15"/>
  <c r="Q78" i="15"/>
  <c r="Q86" i="15"/>
  <c r="AC78" i="15"/>
  <c r="E111" i="15"/>
  <c r="F110" i="15"/>
  <c r="G109" i="15"/>
  <c r="H108" i="15"/>
  <c r="J106" i="15"/>
  <c r="J114" i="15"/>
  <c r="L112" i="15"/>
  <c r="V83" i="15"/>
  <c r="N109" i="15"/>
  <c r="AE106" i="15"/>
  <c r="AA106" i="15"/>
  <c r="Z106" i="15"/>
  <c r="Y106" i="15"/>
  <c r="X106" i="15"/>
  <c r="W106" i="15"/>
  <c r="AC106" i="15"/>
  <c r="U106" i="15"/>
  <c r="Z114" i="15"/>
  <c r="Y114" i="15"/>
  <c r="X114" i="15"/>
  <c r="W114" i="15"/>
  <c r="U114" i="15"/>
  <c r="S114" i="15"/>
  <c r="U113" i="15"/>
  <c r="X112" i="15"/>
  <c r="H139" i="15"/>
  <c r="S43" i="15"/>
  <c r="T42" i="15"/>
  <c r="U41" i="15"/>
  <c r="V40" i="15"/>
  <c r="X38" i="15"/>
  <c r="Z36" i="15"/>
  <c r="Z44" i="15"/>
  <c r="AA43" i="15"/>
  <c r="AC41" i="15"/>
  <c r="S64" i="15"/>
  <c r="S72" i="15"/>
  <c r="T71" i="15"/>
  <c r="U70" i="15"/>
  <c r="V69" i="15"/>
  <c r="W69" i="15"/>
  <c r="Y67" i="15"/>
  <c r="E36" i="15"/>
  <c r="P36" i="15"/>
  <c r="E82" i="15"/>
  <c r="F81" i="15"/>
  <c r="G80" i="15"/>
  <c r="I78" i="15"/>
  <c r="I86" i="15"/>
  <c r="K84" i="15"/>
  <c r="M82" i="15"/>
  <c r="N81" i="15"/>
  <c r="O80" i="15"/>
  <c r="Y78" i="15"/>
  <c r="E112" i="15"/>
  <c r="F111" i="15"/>
  <c r="G110" i="15"/>
  <c r="H109" i="15"/>
  <c r="I108" i="15"/>
  <c r="K106" i="15"/>
  <c r="K114" i="15"/>
  <c r="L86" i="15"/>
  <c r="X85" i="15"/>
  <c r="AE85" i="15"/>
  <c r="V84" i="15"/>
  <c r="M111" i="15"/>
  <c r="O109" i="15"/>
  <c r="Z107" i="15"/>
  <c r="Y107" i="15"/>
  <c r="X107" i="15"/>
  <c r="W107" i="15"/>
  <c r="S106" i="15"/>
  <c r="T106" i="15"/>
  <c r="V106" i="15"/>
  <c r="Y109" i="15"/>
  <c r="O137" i="15"/>
  <c r="G137" i="15"/>
  <c r="N137" i="15"/>
  <c r="F137" i="15"/>
  <c r="M137" i="15"/>
  <c r="E137" i="15"/>
  <c r="L137" i="15"/>
  <c r="K137" i="15"/>
  <c r="Q137" i="15"/>
  <c r="I137" i="15"/>
  <c r="H137" i="15"/>
  <c r="N139" i="15"/>
  <c r="J120" i="15"/>
  <c r="G121" i="15"/>
  <c r="L122" i="15"/>
  <c r="I123" i="15"/>
  <c r="F124" i="15"/>
  <c r="H126" i="15"/>
  <c r="Q126" i="15"/>
  <c r="J128" i="15"/>
  <c r="Y121" i="15"/>
  <c r="AA123" i="15"/>
  <c r="X124" i="15"/>
  <c r="U125" i="15"/>
  <c r="AC125" i="15"/>
  <c r="Z126" i="15"/>
  <c r="W127" i="15"/>
  <c r="S125" i="15"/>
  <c r="H134" i="15"/>
  <c r="P134" i="15"/>
  <c r="K135" i="15"/>
  <c r="F136" i="15"/>
  <c r="N136" i="15"/>
  <c r="L138" i="15"/>
  <c r="J140" i="15"/>
  <c r="E141" i="15"/>
  <c r="M141" i="15"/>
  <c r="H142" i="15"/>
  <c r="P142" i="15"/>
  <c r="X134" i="15"/>
  <c r="T135" i="15"/>
  <c r="AB135" i="15"/>
  <c r="X136" i="15"/>
  <c r="T137" i="15"/>
  <c r="AB137" i="15"/>
  <c r="X138" i="15"/>
  <c r="X140" i="15"/>
  <c r="X142" i="15"/>
  <c r="L120" i="15"/>
  <c r="I121" i="15"/>
  <c r="F122" i="15"/>
  <c r="K123" i="15"/>
  <c r="H124" i="15"/>
  <c r="J126" i="15"/>
  <c r="L128" i="15"/>
  <c r="U123" i="15"/>
  <c r="AC123" i="15"/>
  <c r="Z124" i="15"/>
  <c r="W125" i="15"/>
  <c r="T126" i="15"/>
  <c r="AB126" i="15"/>
  <c r="Y127" i="15"/>
  <c r="S127" i="15"/>
  <c r="J134" i="15"/>
  <c r="E135" i="15"/>
  <c r="M135" i="15"/>
  <c r="H136" i="15"/>
  <c r="P136" i="15"/>
  <c r="F138" i="15"/>
  <c r="N138" i="15"/>
  <c r="L140" i="15"/>
  <c r="G141" i="15"/>
  <c r="O141" i="15"/>
  <c r="J142" i="15"/>
  <c r="Z134" i="15"/>
  <c r="V135" i="15"/>
  <c r="AD135" i="15"/>
  <c r="Z136" i="15"/>
  <c r="V137" i="15"/>
  <c r="AD137" i="15"/>
  <c r="Z138" i="15"/>
  <c r="Z140" i="15"/>
  <c r="Z142" i="15"/>
  <c r="E120" i="15"/>
  <c r="E128" i="15"/>
  <c r="M120" i="15"/>
  <c r="J121" i="15"/>
  <c r="G122" i="15"/>
  <c r="L123" i="15"/>
  <c r="I124" i="15"/>
  <c r="K126" i="15"/>
  <c r="T121" i="15"/>
  <c r="V123" i="15"/>
  <c r="AD123" i="15"/>
  <c r="X125" i="15"/>
  <c r="U126" i="15"/>
  <c r="AC126" i="15"/>
  <c r="Z127" i="15"/>
  <c r="K134" i="15"/>
  <c r="F135" i="15"/>
  <c r="N135" i="15"/>
  <c r="I136" i="15"/>
  <c r="Q136" i="15"/>
  <c r="G138" i="15"/>
  <c r="O138" i="15"/>
  <c r="E140" i="15"/>
  <c r="M140" i="15"/>
  <c r="H141" i="15"/>
  <c r="P141" i="15"/>
  <c r="K142" i="15"/>
  <c r="S134" i="15"/>
  <c r="AA134" i="15"/>
  <c r="W135" i="15"/>
  <c r="S136" i="15"/>
  <c r="AA136" i="15"/>
  <c r="W137" i="15"/>
  <c r="S138" i="15"/>
  <c r="AA138" i="15"/>
  <c r="S140" i="15"/>
  <c r="AA140" i="15"/>
  <c r="S142" i="15"/>
  <c r="E121" i="15"/>
  <c r="F120" i="15"/>
  <c r="N120" i="15"/>
  <c r="K121" i="15"/>
  <c r="H122" i="15"/>
  <c r="M123" i="15"/>
  <c r="J124" i="15"/>
  <c r="L126" i="15"/>
  <c r="F128" i="15"/>
  <c r="U121" i="15"/>
  <c r="W123" i="15"/>
  <c r="T124" i="15"/>
  <c r="Y125" i="15"/>
  <c r="V126" i="15"/>
  <c r="AD126" i="15"/>
  <c r="AA127" i="15"/>
  <c r="S121" i="15"/>
  <c r="L134" i="15"/>
  <c r="G135" i="15"/>
  <c r="O135" i="15"/>
  <c r="J136" i="15"/>
  <c r="H138" i="15"/>
  <c r="P138" i="15"/>
  <c r="F140" i="15"/>
  <c r="N140" i="15"/>
  <c r="I141" i="15"/>
  <c r="Q141" i="15"/>
  <c r="L142" i="15"/>
  <c r="T134" i="15"/>
  <c r="AB134" i="15"/>
  <c r="X135" i="15"/>
  <c r="T136" i="15"/>
  <c r="AB136" i="15"/>
  <c r="X137" i="15"/>
  <c r="T138" i="15"/>
  <c r="AB138" i="15"/>
  <c r="T140" i="15"/>
  <c r="AB140" i="15"/>
  <c r="T142" i="15"/>
  <c r="P126" i="15"/>
  <c r="E122" i="15"/>
  <c r="G120" i="15"/>
  <c r="O120" i="15"/>
  <c r="L121" i="15"/>
  <c r="I122" i="15"/>
  <c r="F123" i="15"/>
  <c r="N123" i="15"/>
  <c r="K124" i="15"/>
  <c r="M126" i="15"/>
  <c r="G128" i="15"/>
  <c r="V121" i="15"/>
  <c r="X123" i="15"/>
  <c r="U124" i="15"/>
  <c r="Z125" i="15"/>
  <c r="W126" i="15"/>
  <c r="T127" i="15"/>
  <c r="AB127" i="15"/>
  <c r="E134" i="15"/>
  <c r="M134" i="15"/>
  <c r="H135" i="15"/>
  <c r="P135" i="15"/>
  <c r="K136" i="15"/>
  <c r="I138" i="15"/>
  <c r="Q138" i="15"/>
  <c r="G140" i="15"/>
  <c r="O140" i="15"/>
  <c r="J141" i="15"/>
  <c r="E142" i="15"/>
  <c r="U134" i="15"/>
  <c r="AC134" i="15"/>
  <c r="Y135" i="15"/>
  <c r="U136" i="15"/>
  <c r="AC136" i="15"/>
  <c r="Y137" i="15"/>
  <c r="U138" i="15"/>
  <c r="AC138" i="15"/>
  <c r="U140" i="15"/>
  <c r="AC140" i="15"/>
  <c r="U142" i="15"/>
  <c r="E123" i="15"/>
  <c r="H120" i="15"/>
  <c r="Q120" i="15"/>
  <c r="G123" i="15"/>
  <c r="F126" i="15"/>
  <c r="H128" i="15"/>
  <c r="W121" i="15"/>
  <c r="Y123" i="15"/>
  <c r="V124" i="15"/>
  <c r="AA125" i="15"/>
  <c r="X126" i="15"/>
  <c r="U127" i="15"/>
  <c r="AC127" i="15"/>
  <c r="S123" i="15"/>
  <c r="F134" i="15"/>
  <c r="I135" i="15"/>
  <c r="H140" i="15"/>
  <c r="F142" i="15"/>
  <c r="V134" i="15"/>
  <c r="AD134" i="15"/>
  <c r="Z135" i="15"/>
  <c r="V136" i="15"/>
  <c r="AD136" i="15"/>
  <c r="Z137" i="15"/>
  <c r="V138" i="15"/>
  <c r="AD138" i="15"/>
  <c r="V140" i="15"/>
  <c r="AD140" i="15"/>
  <c r="V142" i="15"/>
  <c r="AA81" i="15"/>
  <c r="U81" i="15"/>
  <c r="Y85" i="15"/>
  <c r="AC81" i="15"/>
  <c r="T83" i="15"/>
  <c r="U82" i="15"/>
  <c r="X79" i="15"/>
  <c r="Y86" i="15"/>
  <c r="Z85" i="15"/>
  <c r="AB83" i="15"/>
  <c r="AC82" i="15"/>
  <c r="AD81" i="15"/>
  <c r="T85" i="15"/>
  <c r="X81" i="15"/>
  <c r="AB85" i="15"/>
  <c r="Y81" i="15"/>
  <c r="S85" i="15"/>
  <c r="W81" i="15"/>
  <c r="AA85" i="15"/>
  <c r="U85" i="15"/>
  <c r="AA79" i="15"/>
  <c r="AC85" i="15"/>
  <c r="T79" i="15"/>
  <c r="U86" i="15"/>
  <c r="Z81" i="15"/>
  <c r="AB79" i="15"/>
  <c r="AD85" i="15"/>
  <c r="T81" i="15"/>
  <c r="L65" i="15"/>
  <c r="K67" i="15"/>
  <c r="E65" i="15"/>
  <c r="F67" i="15"/>
  <c r="E67" i="15"/>
  <c r="H65" i="15"/>
  <c r="K65" i="15"/>
  <c r="I65" i="15"/>
  <c r="G65" i="15"/>
  <c r="K44" i="15"/>
  <c r="J44" i="15"/>
  <c r="M43" i="15"/>
  <c r="F43" i="15"/>
  <c r="I43" i="15"/>
  <c r="J43" i="15"/>
  <c r="H43" i="15"/>
  <c r="G44" i="15"/>
  <c r="F44" i="15"/>
  <c r="L43" i="15"/>
  <c r="E44" i="15"/>
  <c r="H44" i="15"/>
  <c r="J40" i="15"/>
  <c r="L44" i="15"/>
  <c r="G43" i="15"/>
  <c r="I44" i="15"/>
  <c r="O43" i="15"/>
  <c r="E43" i="15"/>
  <c r="K43" i="15"/>
  <c r="N43" i="15"/>
  <c r="K39" i="15"/>
  <c r="H38" i="15"/>
  <c r="I39" i="15"/>
  <c r="Q39" i="15"/>
  <c r="J39" i="15"/>
  <c r="G38" i="15"/>
  <c r="H39" i="15"/>
  <c r="G39" i="15"/>
  <c r="O39" i="15"/>
  <c r="F39" i="15"/>
  <c r="N39" i="15"/>
  <c r="E39" i="15"/>
  <c r="F36" i="15"/>
  <c r="G36" i="15"/>
  <c r="H36" i="15"/>
  <c r="I36" i="15"/>
  <c r="J36" i="15"/>
  <c r="K36" i="15"/>
  <c r="L36" i="15"/>
  <c r="M36" i="15"/>
  <c r="N36" i="15"/>
  <c r="O36" i="15"/>
  <c r="Q36" i="15"/>
  <c r="G37" i="15"/>
  <c r="H37" i="15"/>
  <c r="K37" i="15"/>
  <c r="E37" i="15"/>
  <c r="F37" i="15"/>
  <c r="I37" i="15"/>
  <c r="J37" i="15"/>
  <c r="F71" i="15"/>
  <c r="I71" i="15"/>
  <c r="K71" i="15"/>
  <c r="F72" i="15"/>
  <c r="H72" i="15"/>
  <c r="K72" i="15"/>
  <c r="M71" i="15"/>
  <c r="I67" i="15"/>
  <c r="J67" i="15"/>
  <c r="L67" i="15"/>
  <c r="E71" i="15"/>
  <c r="H71" i="15"/>
  <c r="J71" i="15"/>
  <c r="L71" i="15"/>
  <c r="E72" i="15"/>
  <c r="G72" i="15"/>
  <c r="J72" i="15"/>
  <c r="L72" i="15"/>
  <c r="N71" i="15"/>
  <c r="O71" i="15"/>
  <c r="Q71" i="15"/>
  <c r="J64" i="15"/>
  <c r="K64" i="15"/>
  <c r="E64" i="15"/>
  <c r="F64" i="15"/>
  <c r="G64" i="15"/>
  <c r="I64" i="15"/>
  <c r="L64" i="15"/>
  <c r="H64" i="15"/>
  <c r="H53" i="14" l="1"/>
  <c r="H60" i="14" s="1"/>
  <c r="H54" i="14" l="1"/>
  <c r="H69" i="14"/>
  <c r="H67" i="14"/>
  <c r="H59" i="14"/>
  <c r="H61" i="14"/>
  <c r="H58" i="14"/>
  <c r="H57" i="14"/>
  <c r="H62" i="14"/>
  <c r="H66" i="14"/>
  <c r="H56" i="14"/>
  <c r="H70" i="14"/>
  <c r="H68" i="14"/>
  <c r="H71" i="14"/>
  <c r="H63" i="14"/>
  <c r="H55" i="14"/>
  <c r="D137" i="14"/>
  <c r="C137" i="14"/>
  <c r="N109" i="14"/>
  <c r="M109" i="14"/>
  <c r="I109" i="14"/>
  <c r="H109" i="14"/>
  <c r="N81" i="14"/>
  <c r="M81" i="14"/>
  <c r="N53" i="14"/>
  <c r="M53" i="14"/>
  <c r="I53" i="14"/>
  <c r="D47" i="14"/>
  <c r="D42" i="14"/>
  <c r="C42" i="14"/>
  <c r="D32" i="14"/>
  <c r="D27" i="14"/>
  <c r="C32" i="14"/>
  <c r="C27" i="14"/>
  <c r="D17" i="14"/>
  <c r="D16" i="14"/>
  <c r="D15" i="14"/>
  <c r="D14" i="14"/>
  <c r="C17" i="14"/>
  <c r="C16" i="14"/>
  <c r="C15" i="14"/>
  <c r="C14" i="14"/>
  <c r="D12" i="14"/>
  <c r="D11" i="14"/>
  <c r="C12" i="14"/>
  <c r="C11" i="14"/>
  <c r="D9" i="14"/>
  <c r="C9" i="14"/>
  <c r="D8" i="14"/>
  <c r="C8" i="14"/>
  <c r="N104" i="14" l="1"/>
  <c r="N88" i="14"/>
  <c r="I116" i="14"/>
  <c r="I117" i="14"/>
  <c r="I115" i="14"/>
  <c r="I60" i="14"/>
  <c r="I61" i="14"/>
  <c r="N117" i="14"/>
  <c r="N115" i="14"/>
  <c r="N116" i="14"/>
  <c r="N60" i="14"/>
  <c r="N61" i="14"/>
  <c r="D144" i="14"/>
  <c r="M60" i="14"/>
  <c r="M61" i="14"/>
  <c r="C144" i="14"/>
  <c r="M104" i="14"/>
  <c r="M88" i="14"/>
  <c r="H116" i="14"/>
  <c r="H115" i="14"/>
  <c r="H117" i="14"/>
  <c r="M117" i="14"/>
  <c r="M116" i="14"/>
  <c r="M115" i="14"/>
  <c r="N102" i="14"/>
  <c r="M102" i="14"/>
  <c r="I81" i="14"/>
  <c r="H81" i="14"/>
  <c r="I88" i="14" l="1"/>
  <c r="H88" i="14"/>
  <c r="I86" i="14"/>
  <c r="I94" i="14"/>
  <c r="I87" i="14"/>
  <c r="I95" i="14"/>
  <c r="I89" i="14"/>
  <c r="I96" i="14"/>
  <c r="I85" i="14"/>
  <c r="I97" i="14"/>
  <c r="I82" i="14"/>
  <c r="I90" i="14"/>
  <c r="I98" i="14"/>
  <c r="I83" i="14"/>
  <c r="I91" i="14"/>
  <c r="I99" i="14"/>
  <c r="I84" i="14"/>
  <c r="H85" i="14"/>
  <c r="H86" i="14"/>
  <c r="H94" i="14"/>
  <c r="H82" i="14"/>
  <c r="H87" i="14"/>
  <c r="H95" i="14"/>
  <c r="H90" i="14"/>
  <c r="H96" i="14"/>
  <c r="H98" i="14"/>
  <c r="H89" i="14"/>
  <c r="H97" i="14"/>
  <c r="H83" i="14"/>
  <c r="H91" i="14"/>
  <c r="H99" i="14"/>
  <c r="H84" i="14"/>
  <c r="D40" i="11" l="1"/>
  <c r="D41" i="11"/>
  <c r="D42" i="11"/>
  <c r="D43" i="11"/>
  <c r="D44" i="11"/>
  <c r="D45" i="11"/>
  <c r="D46" i="11"/>
  <c r="D26" i="11" l="1"/>
  <c r="D25" i="11"/>
  <c r="C26" i="11"/>
  <c r="C25" i="11"/>
  <c r="D64" i="11" l="1"/>
  <c r="E64" i="11" s="1"/>
  <c r="D63" i="11"/>
  <c r="E63" i="11" s="1"/>
  <c r="D62" i="11"/>
  <c r="E62" i="11" s="1"/>
  <c r="E61" i="11"/>
  <c r="D60" i="11"/>
  <c r="E60" i="11" s="1"/>
  <c r="F46" i="11"/>
  <c r="G46" i="11" s="1"/>
  <c r="F45" i="11"/>
  <c r="G45" i="11" s="1"/>
  <c r="F44" i="11"/>
  <c r="G44" i="11" s="1"/>
  <c r="F43" i="11"/>
  <c r="G43" i="11" s="1"/>
  <c r="F42" i="11"/>
  <c r="G42" i="11" s="1"/>
  <c r="F41" i="11"/>
  <c r="G41" i="11" s="1"/>
  <c r="F40" i="11"/>
  <c r="G40" i="11" s="1"/>
  <c r="D33" i="11"/>
  <c r="D32" i="11"/>
  <c r="C33" i="11"/>
  <c r="C32" i="11"/>
  <c r="D5" i="11" l="1"/>
  <c r="F4" i="19" s="1"/>
  <c r="C51" i="11"/>
  <c r="G51" i="11" l="1"/>
  <c r="I51" i="11"/>
  <c r="E51" i="11"/>
  <c r="N59" i="14" l="1"/>
  <c r="N67" i="14"/>
  <c r="N62" i="14"/>
  <c r="N68" i="14"/>
  <c r="N54" i="14"/>
  <c r="N69" i="14"/>
  <c r="N70" i="14"/>
  <c r="N55" i="14"/>
  <c r="N63" i="14"/>
  <c r="N71" i="14"/>
  <c r="N58" i="14"/>
  <c r="N56" i="14"/>
  <c r="N57" i="14"/>
  <c r="N66" i="14"/>
  <c r="D152" i="14"/>
  <c r="D145" i="14"/>
  <c r="D153" i="14"/>
  <c r="D143" i="14"/>
  <c r="D138" i="14"/>
  <c r="D146" i="14"/>
  <c r="D154" i="14"/>
  <c r="D139" i="14"/>
  <c r="D147" i="14"/>
  <c r="D155" i="14"/>
  <c r="D140" i="14"/>
  <c r="D151" i="14"/>
  <c r="D141" i="14"/>
  <c r="D142" i="14"/>
  <c r="D150" i="14"/>
  <c r="N84" i="14"/>
  <c r="N92" i="14"/>
  <c r="N100" i="14"/>
  <c r="N85" i="14"/>
  <c r="N93" i="14"/>
  <c r="N103" i="14"/>
  <c r="N83" i="14"/>
  <c r="N86" i="14"/>
  <c r="N94" i="14"/>
  <c r="N87" i="14"/>
  <c r="N95" i="14"/>
  <c r="N96" i="14"/>
  <c r="N91" i="14"/>
  <c r="N101" i="14"/>
  <c r="N89" i="14"/>
  <c r="N97" i="14"/>
  <c r="N99" i="14"/>
  <c r="N82" i="14"/>
  <c r="N90" i="14"/>
  <c r="N98" i="14"/>
  <c r="N110" i="14"/>
  <c r="N118" i="14"/>
  <c r="N126" i="14"/>
  <c r="N111" i="14"/>
  <c r="N119" i="14"/>
  <c r="N127" i="14"/>
  <c r="N112" i="14"/>
  <c r="N113" i="14"/>
  <c r="N125" i="14"/>
  <c r="N114" i="14"/>
  <c r="N122" i="14"/>
  <c r="N123" i="14"/>
  <c r="N124" i="14"/>
  <c r="I111" i="14"/>
  <c r="I119" i="14"/>
  <c r="I127" i="14"/>
  <c r="I126" i="14"/>
  <c r="I112" i="14"/>
  <c r="I113" i="14"/>
  <c r="I114" i="14"/>
  <c r="I122" i="14"/>
  <c r="I123" i="14"/>
  <c r="I124" i="14"/>
  <c r="I118" i="14"/>
  <c r="I125" i="14"/>
  <c r="I110" i="14"/>
  <c r="C145" i="14"/>
  <c r="C153" i="14"/>
  <c r="C138" i="14"/>
  <c r="C146" i="14"/>
  <c r="C154" i="14"/>
  <c r="C142" i="14"/>
  <c r="C139" i="14"/>
  <c r="C147" i="14"/>
  <c r="C155" i="14"/>
  <c r="C140" i="14"/>
  <c r="C150" i="14"/>
  <c r="C141" i="14"/>
  <c r="C143" i="14"/>
  <c r="C151" i="14"/>
  <c r="C152" i="14"/>
  <c r="M58" i="14"/>
  <c r="M66" i="14"/>
  <c r="M59" i="14"/>
  <c r="M67" i="14"/>
  <c r="M63" i="14"/>
  <c r="M68" i="14"/>
  <c r="M71" i="14"/>
  <c r="M69" i="14"/>
  <c r="M54" i="14"/>
  <c r="M62" i="14"/>
  <c r="M70" i="14"/>
  <c r="M55" i="14"/>
  <c r="M56" i="14"/>
  <c r="M57" i="14"/>
  <c r="M84" i="14"/>
  <c r="M92" i="14"/>
  <c r="M100" i="14"/>
  <c r="M85" i="14"/>
  <c r="M93" i="14"/>
  <c r="M103" i="14"/>
  <c r="M101" i="14"/>
  <c r="M86" i="14"/>
  <c r="M94" i="14"/>
  <c r="M87" i="14"/>
  <c r="M95" i="14"/>
  <c r="M89" i="14"/>
  <c r="M96" i="14"/>
  <c r="M82" i="14"/>
  <c r="M90" i="14"/>
  <c r="M98" i="14"/>
  <c r="M83" i="14"/>
  <c r="M91" i="14"/>
  <c r="M99" i="14"/>
  <c r="M97" i="14"/>
  <c r="H111" i="14"/>
  <c r="H119" i="14"/>
  <c r="H127" i="14"/>
  <c r="H112" i="14"/>
  <c r="H113" i="14"/>
  <c r="H124" i="14"/>
  <c r="H114" i="14"/>
  <c r="H122" i="14"/>
  <c r="H123" i="14"/>
  <c r="H125" i="14"/>
  <c r="H110" i="14"/>
  <c r="H118" i="14"/>
  <c r="H126" i="14"/>
  <c r="M110" i="14"/>
  <c r="M118" i="14"/>
  <c r="M126" i="14"/>
  <c r="M111" i="14"/>
  <c r="M119" i="14"/>
  <c r="M127" i="14"/>
  <c r="M123" i="14"/>
  <c r="M112" i="14"/>
  <c r="M113" i="14"/>
  <c r="M114" i="14"/>
  <c r="M122" i="14"/>
  <c r="M124" i="14"/>
  <c r="M125" i="14"/>
  <c r="C47" i="14" l="1"/>
  <c r="R98" i="15" l="1"/>
  <c r="AM136" i="15"/>
  <c r="AP137" i="15"/>
  <c r="AS126" i="15"/>
  <c r="AS127" i="15"/>
  <c r="AR135" i="15"/>
  <c r="R95" i="15"/>
  <c r="R96" i="15"/>
  <c r="R97" i="15"/>
  <c r="R99" i="15"/>
  <c r="R115" i="15"/>
  <c r="R100" i="15"/>
  <c r="R94" i="15"/>
  <c r="R93" i="15"/>
  <c r="AI122" i="15"/>
  <c r="AF137" i="15"/>
  <c r="AN137" i="15"/>
  <c r="AO136" i="15"/>
  <c r="AM138" i="15"/>
  <c r="AM137" i="15"/>
  <c r="AQ137" i="15"/>
  <c r="AJ141" i="15"/>
  <c r="AL141" i="15"/>
  <c r="AN139" i="15"/>
  <c r="AL139" i="15"/>
  <c r="AS125" i="15"/>
  <c r="AL142" i="15"/>
  <c r="AR120" i="15"/>
  <c r="AG139" i="15"/>
  <c r="AO139" i="15"/>
  <c r="AI136" i="15"/>
  <c r="AO138" i="15"/>
  <c r="AP138" i="15"/>
  <c r="AH138" i="15"/>
  <c r="AM140" i="15"/>
  <c r="AN140" i="15"/>
  <c r="AF140" i="15"/>
  <c r="AL136" i="15"/>
  <c r="R57" i="15"/>
  <c r="AS141" i="15"/>
  <c r="AR141" i="15"/>
  <c r="AM141" i="15"/>
  <c r="AQ136" i="15"/>
  <c r="AJ136" i="15"/>
  <c r="AG136" i="15"/>
  <c r="AR136" i="15"/>
  <c r="AF136" i="15"/>
  <c r="AN136" i="15"/>
  <c r="AI137" i="15"/>
  <c r="AL135" i="15"/>
  <c r="AK136" i="15"/>
  <c r="AS136" i="15"/>
  <c r="AJ137" i="15"/>
  <c r="AR137" i="15"/>
  <c r="AI138" i="15"/>
  <c r="AQ138" i="15"/>
  <c r="AH139" i="15"/>
  <c r="AP139" i="15"/>
  <c r="AG140" i="15"/>
  <c r="AO140" i="15"/>
  <c r="AF141" i="15"/>
  <c r="AN141" i="15"/>
  <c r="AM142" i="15"/>
  <c r="AM135" i="15"/>
  <c r="AK137" i="15"/>
  <c r="AS137" i="15"/>
  <c r="AJ138" i="15"/>
  <c r="AR138" i="15"/>
  <c r="AI139" i="15"/>
  <c r="AQ139" i="15"/>
  <c r="AH140" i="15"/>
  <c r="AP140" i="15"/>
  <c r="AG141" i="15"/>
  <c r="AO141" i="15"/>
  <c r="AF142" i="15"/>
  <c r="AN142" i="15"/>
  <c r="AF135" i="15"/>
  <c r="AN135" i="15"/>
  <c r="AL137" i="15"/>
  <c r="AK138" i="15"/>
  <c r="AS138" i="15"/>
  <c r="AJ139" i="15"/>
  <c r="AR139" i="15"/>
  <c r="AI140" i="15"/>
  <c r="AQ140" i="15"/>
  <c r="AH141" i="15"/>
  <c r="AP141" i="15"/>
  <c r="AG142" i="15"/>
  <c r="AG135" i="15"/>
  <c r="AO135" i="15"/>
  <c r="AL138" i="15"/>
  <c r="AK139" i="15"/>
  <c r="AS139" i="15"/>
  <c r="AJ140" i="15"/>
  <c r="AR140" i="15"/>
  <c r="AI141" i="15"/>
  <c r="AQ141" i="15"/>
  <c r="AH142" i="15"/>
  <c r="AK135" i="15"/>
  <c r="AS135" i="15"/>
  <c r="AH135" i="15"/>
  <c r="AP135" i="15"/>
  <c r="AK140" i="15"/>
  <c r="AS140" i="15"/>
  <c r="AI142" i="15"/>
  <c r="AI135" i="15"/>
  <c r="AQ135" i="15"/>
  <c r="AH136" i="15"/>
  <c r="AP136" i="15"/>
  <c r="AG137" i="15"/>
  <c r="AO137" i="15"/>
  <c r="AF138" i="15"/>
  <c r="AN138" i="15"/>
  <c r="AM139" i="15"/>
  <c r="AL140" i="15"/>
  <c r="AK141" i="15"/>
  <c r="AJ142" i="15"/>
  <c r="AJ135" i="15"/>
  <c r="AH137" i="15"/>
  <c r="AG138" i="15"/>
  <c r="AF139" i="15"/>
  <c r="AK142" i="15"/>
  <c r="AM134" i="15"/>
  <c r="AL134" i="15"/>
  <c r="AS134" i="15"/>
  <c r="AK134" i="15"/>
  <c r="AR134" i="15"/>
  <c r="AJ134" i="15"/>
  <c r="AQ134" i="15"/>
  <c r="AI134" i="15"/>
  <c r="AP134" i="15"/>
  <c r="AH134" i="15"/>
  <c r="AO134" i="15"/>
  <c r="AG134" i="15"/>
  <c r="AN134" i="15"/>
  <c r="AF134" i="15"/>
  <c r="AL124" i="15"/>
  <c r="AL126" i="15"/>
  <c r="AM124" i="15"/>
  <c r="AM125" i="15"/>
  <c r="AM126" i="15"/>
  <c r="AM127" i="15"/>
  <c r="AL127" i="15"/>
  <c r="AF123" i="15"/>
  <c r="AF124" i="15"/>
  <c r="AN124" i="15"/>
  <c r="AN125" i="15"/>
  <c r="AF126" i="15"/>
  <c r="AN126" i="15"/>
  <c r="AF127" i="15"/>
  <c r="AN127" i="15"/>
  <c r="AF128" i="15"/>
  <c r="AL125" i="15"/>
  <c r="AF121" i="15"/>
  <c r="AF125" i="15"/>
  <c r="AG124" i="15"/>
  <c r="AG125" i="15"/>
  <c r="AO125" i="15"/>
  <c r="AG126" i="15"/>
  <c r="AO126" i="15"/>
  <c r="AG127" i="15"/>
  <c r="AO127" i="15"/>
  <c r="AF122" i="15"/>
  <c r="AH124" i="15"/>
  <c r="AH125" i="15"/>
  <c r="AP125" i="15"/>
  <c r="AH126" i="15"/>
  <c r="AP126" i="15"/>
  <c r="AH127" i="15"/>
  <c r="AP127" i="15"/>
  <c r="AI124" i="15"/>
  <c r="AI125" i="15"/>
  <c r="AQ125" i="15"/>
  <c r="AI126" i="15"/>
  <c r="AQ126" i="15"/>
  <c r="AI127" i="15"/>
  <c r="AQ127" i="15"/>
  <c r="AG122" i="15"/>
  <c r="AG123" i="15"/>
  <c r="AJ124" i="15"/>
  <c r="AJ125" i="15"/>
  <c r="AR125" i="15"/>
  <c r="AJ126" i="15"/>
  <c r="AR126" i="15"/>
  <c r="AJ127" i="15"/>
  <c r="AR127" i="15"/>
  <c r="AK124" i="15"/>
  <c r="AK125" i="15"/>
  <c r="AK126" i="15"/>
  <c r="AK127" i="15"/>
  <c r="AG120" i="15"/>
  <c r="AF120" i="15"/>
  <c r="V72" i="15"/>
  <c r="AP123" i="15" l="1"/>
  <c r="AD98" i="15"/>
  <c r="AJ128" i="15"/>
  <c r="AQ123" i="15"/>
  <c r="AI128" i="15"/>
  <c r="AJ123" i="15"/>
  <c r="AK122" i="15"/>
  <c r="AI123" i="15"/>
  <c r="AS123" i="15"/>
  <c r="AA98" i="15"/>
  <c r="AM121" i="15"/>
  <c r="W57" i="15"/>
  <c r="AM123" i="15"/>
  <c r="W98" i="15"/>
  <c r="AJ121" i="15"/>
  <c r="AI120" i="15"/>
  <c r="AL121" i="15"/>
  <c r="AJ122" i="15"/>
  <c r="AI121" i="15"/>
  <c r="AM122" i="15"/>
  <c r="AH120" i="15"/>
  <c r="AL128" i="15"/>
  <c r="AJ120" i="15"/>
  <c r="AP120" i="15"/>
  <c r="AK128" i="15"/>
  <c r="AL122" i="15"/>
  <c r="AL123" i="15"/>
  <c r="AK121" i="15"/>
  <c r="AK123" i="15"/>
  <c r="AM128" i="15"/>
  <c r="AM120" i="15"/>
  <c r="AN128" i="15"/>
  <c r="AO123" i="15"/>
  <c r="AN120" i="15"/>
  <c r="AG128" i="15"/>
  <c r="AN122" i="15"/>
  <c r="AN121" i="15"/>
  <c r="AH128" i="15"/>
  <c r="AO120" i="15"/>
  <c r="AG121" i="15"/>
  <c r="AQ120" i="15"/>
  <c r="AK120" i="15"/>
  <c r="AH122" i="15"/>
  <c r="AR123" i="15"/>
  <c r="AL120" i="15"/>
  <c r="AN123" i="15"/>
  <c r="AH123" i="15"/>
  <c r="AS120" i="15"/>
  <c r="AH121" i="15"/>
  <c r="Z98" i="15"/>
  <c r="V98" i="15"/>
  <c r="T98" i="15"/>
  <c r="AC98" i="15"/>
  <c r="Y98" i="15"/>
  <c r="U98" i="15"/>
  <c r="X98" i="15"/>
  <c r="AB98" i="15"/>
  <c r="S98" i="15"/>
  <c r="Y115" i="15"/>
  <c r="X115" i="15"/>
  <c r="W115" i="15"/>
  <c r="V115" i="15"/>
  <c r="U115" i="15"/>
  <c r="Z115" i="15"/>
  <c r="T115" i="15"/>
  <c r="S115" i="15"/>
  <c r="Z97" i="15"/>
  <c r="AA97" i="15"/>
  <c r="S97" i="15"/>
  <c r="U97" i="15"/>
  <c r="X97" i="15"/>
  <c r="W97" i="15"/>
  <c r="AD97" i="15"/>
  <c r="Y97" i="15"/>
  <c r="AB97" i="15"/>
  <c r="T97" i="15"/>
  <c r="AC97" i="15"/>
  <c r="V97" i="15"/>
  <c r="Z93" i="15"/>
  <c r="Y93" i="15"/>
  <c r="V93" i="15"/>
  <c r="T93" i="15"/>
  <c r="W93" i="15"/>
  <c r="S93" i="15"/>
  <c r="U93" i="15"/>
  <c r="X93" i="15"/>
  <c r="AB99" i="15"/>
  <c r="W99" i="15"/>
  <c r="V99" i="15"/>
  <c r="U99" i="15"/>
  <c r="AD99" i="15"/>
  <c r="X99" i="15"/>
  <c r="AC99" i="15"/>
  <c r="AA99" i="15"/>
  <c r="T99" i="15"/>
  <c r="Y99" i="15"/>
  <c r="Z99" i="15"/>
  <c r="S99" i="15"/>
  <c r="Z96" i="15"/>
  <c r="T96" i="15"/>
  <c r="S96" i="15"/>
  <c r="V96" i="15"/>
  <c r="X96" i="15"/>
  <c r="U96" i="15"/>
  <c r="Y96" i="15"/>
  <c r="W96" i="15"/>
  <c r="Y94" i="15"/>
  <c r="X94" i="15"/>
  <c r="W94" i="15"/>
  <c r="S94" i="15"/>
  <c r="U94" i="15"/>
  <c r="Z94" i="15"/>
  <c r="T94" i="15"/>
  <c r="V94" i="15"/>
  <c r="AB95" i="15"/>
  <c r="AC95" i="15"/>
  <c r="X95" i="15"/>
  <c r="V95" i="15"/>
  <c r="W95" i="15"/>
  <c r="AD95" i="15"/>
  <c r="U95" i="15"/>
  <c r="AE95" i="15"/>
  <c r="Z95" i="15"/>
  <c r="T95" i="15"/>
  <c r="Y95" i="15"/>
  <c r="S95" i="15"/>
  <c r="AA95" i="15"/>
  <c r="Z100" i="15"/>
  <c r="X100" i="15"/>
  <c r="V100" i="15"/>
  <c r="U100" i="15"/>
  <c r="T100" i="15"/>
  <c r="S100" i="15"/>
  <c r="W100" i="15"/>
  <c r="Y100" i="15"/>
  <c r="T57" i="15"/>
  <c r="Z57" i="15"/>
  <c r="X57" i="15"/>
  <c r="S57" i="15"/>
  <c r="Y57" i="15"/>
  <c r="V57" i="15"/>
  <c r="U57" i="15"/>
  <c r="AQ83" i="15" l="1"/>
  <c r="AS29" i="15"/>
  <c r="AM81" i="15"/>
  <c r="AL42" i="15"/>
  <c r="AJ36" i="15"/>
  <c r="AO84" i="15"/>
  <c r="AQ27" i="15"/>
  <c r="AS68" i="15"/>
  <c r="AF30" i="15"/>
  <c r="AG37" i="15"/>
  <c r="AG72" i="15"/>
  <c r="AM85" i="15"/>
  <c r="AS82" i="15"/>
  <c r="AS86" i="15"/>
  <c r="AG66" i="15"/>
  <c r="AQ79" i="15"/>
  <c r="AH106" i="15"/>
  <c r="AG106" i="15"/>
  <c r="AN28" i="15"/>
  <c r="AO80" i="15"/>
  <c r="D96" i="15"/>
  <c r="AS111" i="15"/>
  <c r="D97" i="15"/>
  <c r="AS112" i="15"/>
  <c r="D98" i="15"/>
  <c r="AS113" i="15"/>
  <c r="D99" i="15"/>
  <c r="D100" i="15"/>
  <c r="D93" i="15"/>
  <c r="D94" i="15"/>
  <c r="D95" i="15"/>
  <c r="AM71" i="15"/>
  <c r="D57" i="15"/>
  <c r="M57" i="15" s="1"/>
  <c r="R15" i="15"/>
  <c r="S15" i="15" s="1"/>
  <c r="AG36" i="15"/>
  <c r="AF36" i="15"/>
  <c r="AF25" i="15"/>
  <c r="AG26" i="15"/>
  <c r="AF41" i="15"/>
  <c r="AQ36" i="15"/>
  <c r="AF40" i="15"/>
  <c r="AN30" i="15"/>
  <c r="AJ27" i="15"/>
  <c r="AN64" i="15"/>
  <c r="AG85" i="15"/>
  <c r="AF29" i="15"/>
  <c r="AL64" i="15"/>
  <c r="AN85" i="15"/>
  <c r="AM29" i="15"/>
  <c r="AI64" i="15"/>
  <c r="AL86" i="15"/>
  <c r="AQ29" i="15"/>
  <c r="AM38" i="15"/>
  <c r="AN29" i="15"/>
  <c r="AL41" i="15"/>
  <c r="AJ72" i="15"/>
  <c r="AN82" i="15"/>
  <c r="AM86" i="15"/>
  <c r="AF26" i="15"/>
  <c r="AP29" i="15"/>
  <c r="D15" i="15"/>
  <c r="Q15" i="15" s="1"/>
  <c r="AQ41" i="15"/>
  <c r="AG43" i="15"/>
  <c r="AL72" i="15"/>
  <c r="AF112" i="15"/>
  <c r="AO43" i="15"/>
  <c r="AF72" i="15"/>
  <c r="AL28" i="15"/>
  <c r="AF22" i="15"/>
  <c r="AH26" i="15"/>
  <c r="AG28" i="15"/>
  <c r="AH29" i="15"/>
  <c r="AR29" i="15"/>
  <c r="AH40" i="15"/>
  <c r="AI80" i="15"/>
  <c r="AK26" i="15"/>
  <c r="AH28" i="15"/>
  <c r="AI29" i="15"/>
  <c r="AO36" i="15"/>
  <c r="AJ40" i="15"/>
  <c r="AR36" i="15"/>
  <c r="AL80" i="15"/>
  <c r="AH84" i="15"/>
  <c r="AN106" i="15"/>
  <c r="AN26" i="15"/>
  <c r="AJ28" i="15"/>
  <c r="AJ29" i="15"/>
  <c r="AI36" i="15"/>
  <c r="AH38" i="15"/>
  <c r="AL40" i="15"/>
  <c r="AF42" i="15"/>
  <c r="AN71" i="15"/>
  <c r="AM106" i="15"/>
  <c r="AF111" i="15"/>
  <c r="D31" i="15"/>
  <c r="AK28" i="15"/>
  <c r="AL29" i="15"/>
  <c r="AH36" i="15"/>
  <c r="AN40" i="15"/>
  <c r="AH42" i="15"/>
  <c r="AP71" i="15"/>
  <c r="AP27" i="15"/>
  <c r="AF67" i="15"/>
  <c r="AL67" i="15"/>
  <c r="AJ67" i="15"/>
  <c r="AM26" i="15"/>
  <c r="AI26" i="15"/>
  <c r="AF24" i="15"/>
  <c r="AJ26" i="15"/>
  <c r="AF27" i="15"/>
  <c r="AG38" i="15"/>
  <c r="AJ38" i="15"/>
  <c r="AF38" i="15"/>
  <c r="AL38" i="15"/>
  <c r="AS41" i="15"/>
  <c r="AN41" i="15"/>
  <c r="AM41" i="15"/>
  <c r="AG41" i="15"/>
  <c r="AI41" i="15"/>
  <c r="AR22" i="15"/>
  <c r="AO27" i="15"/>
  <c r="AG27" i="15"/>
  <c r="AS27" i="15"/>
  <c r="AK27" i="15"/>
  <c r="AH27" i="15"/>
  <c r="AR27" i="15"/>
  <c r="AS43" i="15"/>
  <c r="AM43" i="15"/>
  <c r="AL43" i="15"/>
  <c r="AI28" i="15"/>
  <c r="AM28" i="15"/>
  <c r="AL23" i="15"/>
  <c r="AL26" i="15"/>
  <c r="AI27" i="15"/>
  <c r="AF28" i="15"/>
  <c r="AI38" i="15"/>
  <c r="AO41" i="15"/>
  <c r="AL27" i="15"/>
  <c r="AM27" i="15"/>
  <c r="AM37" i="15"/>
  <c r="AH37" i="15"/>
  <c r="AF23" i="15"/>
  <c r="AN27" i="15"/>
  <c r="AF44" i="15"/>
  <c r="AG23" i="15"/>
  <c r="AM42" i="15"/>
  <c r="AO25" i="15"/>
  <c r="AG29" i="15"/>
  <c r="AO29" i="15"/>
  <c r="AM40" i="15"/>
  <c r="AN42" i="15"/>
  <c r="AM64" i="15"/>
  <c r="AF68" i="15"/>
  <c r="AH72" i="15"/>
  <c r="AH80" i="15"/>
  <c r="AL82" i="15"/>
  <c r="AO106" i="15"/>
  <c r="AN112" i="15"/>
  <c r="AN113" i="15"/>
  <c r="AH68" i="15"/>
  <c r="AM82" i="15"/>
  <c r="AO113" i="15"/>
  <c r="AR106" i="15"/>
  <c r="AL68" i="15"/>
  <c r="AF81" i="15"/>
  <c r="AN68" i="15"/>
  <c r="AF71" i="15"/>
  <c r="AP80" i="15"/>
  <c r="AG81" i="15"/>
  <c r="AP82" i="15"/>
  <c r="AI84" i="15"/>
  <c r="AL106" i="15"/>
  <c r="AN111" i="15"/>
  <c r="AH114" i="15"/>
  <c r="AK29" i="15"/>
  <c r="AN36" i="15"/>
  <c r="AG40" i="15"/>
  <c r="AG64" i="15"/>
  <c r="AP68" i="15"/>
  <c r="AH71" i="15"/>
  <c r="AQ80" i="15"/>
  <c r="AN81" i="15"/>
  <c r="AL84" i="15"/>
  <c r="AF85" i="15"/>
  <c r="AK106" i="15"/>
  <c r="AI114" i="15"/>
  <c r="AR109" i="15"/>
  <c r="AF65" i="15"/>
  <c r="AO81" i="15"/>
  <c r="AP84" i="15"/>
  <c r="AF110" i="15"/>
  <c r="AF82" i="15"/>
  <c r="AQ84" i="15"/>
  <c r="AN110" i="15"/>
  <c r="AF113" i="15"/>
  <c r="AL66" i="15"/>
  <c r="AH82" i="15"/>
  <c r="AO85" i="15"/>
  <c r="AG113" i="15"/>
  <c r="AF114" i="15"/>
  <c r="AN108" i="15"/>
  <c r="AN109" i="15"/>
  <c r="AL110" i="15"/>
  <c r="AL111" i="15"/>
  <c r="AL112" i="15"/>
  <c r="AL113" i="15"/>
  <c r="AN114" i="15"/>
  <c r="AO109" i="15"/>
  <c r="AM110" i="15"/>
  <c r="AM111" i="15"/>
  <c r="AM112" i="15"/>
  <c r="AM113" i="15"/>
  <c r="AG114" i="15"/>
  <c r="AF107" i="15"/>
  <c r="AG107" i="15"/>
  <c r="AQ109" i="15"/>
  <c r="AG110" i="15"/>
  <c r="AP111" i="15"/>
  <c r="AH112" i="15"/>
  <c r="AP112" i="15"/>
  <c r="AH113" i="15"/>
  <c r="AP113" i="15"/>
  <c r="AJ114" i="15"/>
  <c r="AH108" i="15"/>
  <c r="AF109" i="15"/>
  <c r="AI108" i="15"/>
  <c r="AG108" i="15"/>
  <c r="AG111" i="15"/>
  <c r="AO112" i="15"/>
  <c r="AJ108" i="15"/>
  <c r="AS109" i="15"/>
  <c r="AH111" i="15"/>
  <c r="AK107" i="15"/>
  <c r="AK108" i="15"/>
  <c r="AK109" i="15"/>
  <c r="AI110" i="15"/>
  <c r="AI111" i="15"/>
  <c r="AQ111" i="15"/>
  <c r="AI112" i="15"/>
  <c r="AQ112" i="15"/>
  <c r="AI113" i="15"/>
  <c r="AQ113" i="15"/>
  <c r="AK114" i="15"/>
  <c r="AN107" i="15"/>
  <c r="AH107" i="15"/>
  <c r="AF108" i="15"/>
  <c r="AH109" i="15"/>
  <c r="AI107" i="15"/>
  <c r="AI109" i="15"/>
  <c r="AG109" i="15"/>
  <c r="AO111" i="15"/>
  <c r="AG112" i="15"/>
  <c r="AJ107" i="15"/>
  <c r="AJ109" i="15"/>
  <c r="AH110" i="15"/>
  <c r="AL107" i="15"/>
  <c r="AL108" i="15"/>
  <c r="AL109" i="15"/>
  <c r="AJ110" i="15"/>
  <c r="AJ111" i="15"/>
  <c r="AR111" i="15"/>
  <c r="AJ112" i="15"/>
  <c r="AR112" i="15"/>
  <c r="AJ113" i="15"/>
  <c r="AR113" i="15"/>
  <c r="AL114" i="15"/>
  <c r="AP109" i="15"/>
  <c r="AM107" i="15"/>
  <c r="AM108" i="15"/>
  <c r="AM109" i="15"/>
  <c r="AK110" i="15"/>
  <c r="AK111" i="15"/>
  <c r="AK112" i="15"/>
  <c r="AK113" i="15"/>
  <c r="AM114" i="15"/>
  <c r="AS106" i="15"/>
  <c r="AJ106" i="15"/>
  <c r="AQ106" i="15"/>
  <c r="AI106" i="15"/>
  <c r="AF106" i="15"/>
  <c r="AP106" i="15"/>
  <c r="AJ79" i="15"/>
  <c r="AR79" i="15"/>
  <c r="AS83" i="15"/>
  <c r="AL79" i="15"/>
  <c r="AJ80" i="15"/>
  <c r="AR80" i="15"/>
  <c r="AH81" i="15"/>
  <c r="AP81" i="15"/>
  <c r="AL83" i="15"/>
  <c r="AJ84" i="15"/>
  <c r="AR84" i="15"/>
  <c r="AH85" i="15"/>
  <c r="AP85" i="15"/>
  <c r="AF86" i="15"/>
  <c r="AN86" i="15"/>
  <c r="AK79" i="15"/>
  <c r="AM79" i="15"/>
  <c r="AK80" i="15"/>
  <c r="AS80" i="15"/>
  <c r="AI81" i="15"/>
  <c r="AQ81" i="15"/>
  <c r="AG82" i="15"/>
  <c r="AO82" i="15"/>
  <c r="AM83" i="15"/>
  <c r="AK84" i="15"/>
  <c r="AS84" i="15"/>
  <c r="AI85" i="15"/>
  <c r="AQ85" i="15"/>
  <c r="AG86" i="15"/>
  <c r="AO86" i="15"/>
  <c r="AK83" i="15"/>
  <c r="AF79" i="15"/>
  <c r="AN79" i="15"/>
  <c r="AJ81" i="15"/>
  <c r="AR81" i="15"/>
  <c r="AF83" i="15"/>
  <c r="AN83" i="15"/>
  <c r="AJ85" i="15"/>
  <c r="AR85" i="15"/>
  <c r="AH86" i="15"/>
  <c r="AP86" i="15"/>
  <c r="AR83" i="15"/>
  <c r="AG79" i="15"/>
  <c r="AO79" i="15"/>
  <c r="AM80" i="15"/>
  <c r="AK81" i="15"/>
  <c r="AS81" i="15"/>
  <c r="AI82" i="15"/>
  <c r="AQ82" i="15"/>
  <c r="AG83" i="15"/>
  <c r="AO83" i="15"/>
  <c r="AM84" i="15"/>
  <c r="AK85" i="15"/>
  <c r="AS85" i="15"/>
  <c r="AI86" i="15"/>
  <c r="AQ86" i="15"/>
  <c r="AS79" i="15"/>
  <c r="AH79" i="15"/>
  <c r="AP79" i="15"/>
  <c r="AF80" i="15"/>
  <c r="AN80" i="15"/>
  <c r="AL81" i="15"/>
  <c r="AJ82" i="15"/>
  <c r="AR82" i="15"/>
  <c r="AH83" i="15"/>
  <c r="AP83" i="15"/>
  <c r="AF84" i="15"/>
  <c r="AN84" i="15"/>
  <c r="AL85" i="15"/>
  <c r="AJ86" i="15"/>
  <c r="AR86" i="15"/>
  <c r="AJ83" i="15"/>
  <c r="AI79" i="15"/>
  <c r="AG80" i="15"/>
  <c r="AK82" i="15"/>
  <c r="AI83" i="15"/>
  <c r="AG84" i="15"/>
  <c r="AK86" i="15"/>
  <c r="AL78" i="15"/>
  <c r="AS78" i="15"/>
  <c r="AK78" i="15"/>
  <c r="AR78" i="15"/>
  <c r="AJ78" i="15"/>
  <c r="AQ78" i="15"/>
  <c r="AI78" i="15"/>
  <c r="AO78" i="15"/>
  <c r="AG78" i="15"/>
  <c r="AM78" i="15"/>
  <c r="AP78" i="15"/>
  <c r="AH78" i="15"/>
  <c r="AN78" i="15"/>
  <c r="AF78" i="15"/>
  <c r="AJ69" i="15"/>
  <c r="AH70" i="15"/>
  <c r="AM66" i="15"/>
  <c r="AK67" i="15"/>
  <c r="AG67" i="15"/>
  <c r="AM68" i="15"/>
  <c r="AK69" i="15"/>
  <c r="AI70" i="15"/>
  <c r="AG71" i="15"/>
  <c r="AO71" i="15"/>
  <c r="AI72" i="15"/>
  <c r="AN66" i="15"/>
  <c r="AI65" i="15"/>
  <c r="AM67" i="15"/>
  <c r="AG68" i="15"/>
  <c r="AO68" i="15"/>
  <c r="AM69" i="15"/>
  <c r="AK70" i="15"/>
  <c r="AI71" i="15"/>
  <c r="AQ71" i="15"/>
  <c r="AK72" i="15"/>
  <c r="AJ65" i="15"/>
  <c r="AH66" i="15"/>
  <c r="AN67" i="15"/>
  <c r="AF69" i="15"/>
  <c r="AN69" i="15"/>
  <c r="AL70" i="15"/>
  <c r="AJ71" i="15"/>
  <c r="AR71" i="15"/>
  <c r="AJ70" i="15"/>
  <c r="AK65" i="15"/>
  <c r="AG65" i="15"/>
  <c r="AI66" i="15"/>
  <c r="AI68" i="15"/>
  <c r="AQ68" i="15"/>
  <c r="AG69" i="15"/>
  <c r="AM70" i="15"/>
  <c r="AK71" i="15"/>
  <c r="AS71" i="15"/>
  <c r="AM72" i="15"/>
  <c r="AL69" i="15"/>
  <c r="AJ66" i="15"/>
  <c r="AF66" i="15"/>
  <c r="AH67" i="15"/>
  <c r="AJ68" i="15"/>
  <c r="AR68" i="15"/>
  <c r="AH69" i="15"/>
  <c r="AF70" i="15"/>
  <c r="AN70" i="15"/>
  <c r="AL71" i="15"/>
  <c r="AN72" i="15"/>
  <c r="AN65" i="15"/>
  <c r="AH65" i="15"/>
  <c r="AL65" i="15"/>
  <c r="AM65" i="15"/>
  <c r="AK66" i="15"/>
  <c r="AI67" i="15"/>
  <c r="AK68" i="15"/>
  <c r="AI69" i="15"/>
  <c r="AG70" i="15"/>
  <c r="AK64" i="15"/>
  <c r="AJ64" i="15"/>
  <c r="AF64" i="15"/>
  <c r="AH64" i="15"/>
  <c r="AN37" i="15"/>
  <c r="AL39" i="15"/>
  <c r="AN38" i="15"/>
  <c r="AK38" i="15"/>
  <c r="AM39" i="15"/>
  <c r="AR39" i="15"/>
  <c r="AI40" i="15"/>
  <c r="AH41" i="15"/>
  <c r="AP41" i="15"/>
  <c r="AG42" i="15"/>
  <c r="AF43" i="15"/>
  <c r="AN43" i="15"/>
  <c r="AH44" i="15"/>
  <c r="AN39" i="15"/>
  <c r="AI37" i="15"/>
  <c r="AF37" i="15"/>
  <c r="AO39" i="15"/>
  <c r="AK40" i="15"/>
  <c r="AJ41" i="15"/>
  <c r="AR41" i="15"/>
  <c r="AI42" i="15"/>
  <c r="AH43" i="15"/>
  <c r="AP43" i="15"/>
  <c r="AJ44" i="15"/>
  <c r="AG44" i="15"/>
  <c r="AJ37" i="15"/>
  <c r="AH39" i="15"/>
  <c r="AP39" i="15"/>
  <c r="AK41" i="15"/>
  <c r="AJ42" i="15"/>
  <c r="AI43" i="15"/>
  <c r="AQ43" i="15"/>
  <c r="AK44" i="15"/>
  <c r="AK37" i="15"/>
  <c r="AI39" i="15"/>
  <c r="AQ39" i="15"/>
  <c r="AF39" i="15"/>
  <c r="AK42" i="15"/>
  <c r="AJ43" i="15"/>
  <c r="AR43" i="15"/>
  <c r="AL44" i="15"/>
  <c r="AI44" i="15"/>
  <c r="AL37" i="15"/>
  <c r="AJ39" i="15"/>
  <c r="AS39" i="15"/>
  <c r="AG39" i="15"/>
  <c r="AK43" i="15"/>
  <c r="AM44" i="15"/>
  <c r="AK39" i="15"/>
  <c r="AN44" i="15"/>
  <c r="AM36" i="15"/>
  <c r="AL36" i="15"/>
  <c r="AK36" i="15"/>
  <c r="AP36" i="15"/>
  <c r="AS36" i="15"/>
  <c r="AI24" i="15" l="1"/>
  <c r="AC15" i="15"/>
  <c r="AM30" i="15"/>
  <c r="AL24" i="15"/>
  <c r="AG30" i="15"/>
  <c r="AJ30" i="15"/>
  <c r="AK30" i="15"/>
  <c r="AQ25" i="15"/>
  <c r="AN24" i="15"/>
  <c r="AM24" i="15"/>
  <c r="AJ25" i="15"/>
  <c r="AI30" i="15"/>
  <c r="AJ22" i="15"/>
  <c r="AN23" i="15"/>
  <c r="AI22" i="15"/>
  <c r="AP25" i="15"/>
  <c r="AG22" i="15"/>
  <c r="AM22" i="15"/>
  <c r="AH23" i="15"/>
  <c r="AL22" i="15"/>
  <c r="AH24" i="15"/>
  <c r="AR25" i="15"/>
  <c r="AS22" i="15"/>
  <c r="AH30" i="15"/>
  <c r="AH22" i="15"/>
  <c r="AL30" i="15"/>
  <c r="AO22" i="15"/>
  <c r="AK23" i="15"/>
  <c r="AI23" i="15"/>
  <c r="AH25" i="15"/>
  <c r="AM25" i="15"/>
  <c r="AG25" i="15"/>
  <c r="AP22" i="15"/>
  <c r="AL25" i="15"/>
  <c r="AK24" i="15"/>
  <c r="AS25" i="15"/>
  <c r="AI25" i="15"/>
  <c r="AK25" i="15"/>
  <c r="AJ24" i="15"/>
  <c r="AJ23" i="15"/>
  <c r="AN22" i="15"/>
  <c r="AM23" i="15"/>
  <c r="AN25" i="15"/>
  <c r="AG24" i="15"/>
  <c r="AQ22" i="15"/>
  <c r="AK22" i="15"/>
  <c r="O15" i="15"/>
  <c r="I15" i="15"/>
  <c r="E15" i="15"/>
  <c r="G15" i="15"/>
  <c r="J15" i="15"/>
  <c r="N15" i="15"/>
  <c r="P15" i="15"/>
  <c r="F15" i="15"/>
  <c r="H15" i="15"/>
  <c r="M15" i="15"/>
  <c r="K15" i="15"/>
  <c r="L15" i="15"/>
  <c r="Z15" i="15"/>
  <c r="V15" i="15"/>
  <c r="U15" i="15"/>
  <c r="AB15" i="15"/>
  <c r="Y15" i="15"/>
  <c r="X15" i="15"/>
  <c r="W15" i="15"/>
  <c r="T15" i="15"/>
  <c r="AA15" i="15"/>
  <c r="AD15" i="15"/>
  <c r="F93" i="15"/>
  <c r="AH93" i="15" s="1"/>
  <c r="AR97" i="15"/>
  <c r="AJ97" i="15"/>
  <c r="AM97" i="15"/>
  <c r="AQ97" i="15"/>
  <c r="AI97" i="15"/>
  <c r="AO97" i="15"/>
  <c r="AP97" i="15"/>
  <c r="AH97" i="15"/>
  <c r="AG97" i="15"/>
  <c r="AN97" i="15"/>
  <c r="AL97" i="15"/>
  <c r="AS97" i="15"/>
  <c r="AK97" i="15"/>
  <c r="AR15" i="15"/>
  <c r="AJ15" i="15"/>
  <c r="AQ15" i="15"/>
  <c r="AI15" i="15"/>
  <c r="AS15" i="15"/>
  <c r="AP15" i="15"/>
  <c r="AH15" i="15"/>
  <c r="AF15" i="15"/>
  <c r="AM15" i="15"/>
  <c r="AO15" i="15"/>
  <c r="AG15" i="15"/>
  <c r="AN15" i="15"/>
  <c r="AL15" i="15"/>
  <c r="AK15" i="15"/>
  <c r="AP99" i="15"/>
  <c r="AH99" i="15"/>
  <c r="AO99" i="15"/>
  <c r="AG99" i="15"/>
  <c r="AM99" i="15"/>
  <c r="AN99" i="15"/>
  <c r="AK99" i="15"/>
  <c r="AL99" i="15"/>
  <c r="AS99" i="15"/>
  <c r="AR99" i="15"/>
  <c r="AJ99" i="15"/>
  <c r="AQ99" i="15"/>
  <c r="AI99" i="15"/>
  <c r="H31" i="15"/>
  <c r="G31" i="15"/>
  <c r="E31" i="15"/>
  <c r="F31" i="15"/>
  <c r="L31" i="15"/>
  <c r="J31" i="15"/>
  <c r="I31" i="15"/>
  <c r="K31" i="15"/>
  <c r="AM98" i="15"/>
  <c r="AJ98" i="15"/>
  <c r="AH98" i="15"/>
  <c r="AL98" i="15"/>
  <c r="AS98" i="15"/>
  <c r="AK98" i="15"/>
  <c r="AR98" i="15"/>
  <c r="AP98" i="15"/>
  <c r="AQ98" i="15"/>
  <c r="AI98" i="15"/>
  <c r="AO98" i="15"/>
  <c r="AG98" i="15"/>
  <c r="AN98" i="15"/>
  <c r="J99" i="15"/>
  <c r="H99" i="15"/>
  <c r="F99" i="15"/>
  <c r="G99" i="15"/>
  <c r="AF99" i="15"/>
  <c r="E99" i="15"/>
  <c r="P99" i="15"/>
  <c r="N99" i="15"/>
  <c r="M99" i="15"/>
  <c r="O99" i="15"/>
  <c r="I99" i="15"/>
  <c r="K99" i="15"/>
  <c r="L99" i="15"/>
  <c r="Q99" i="15"/>
  <c r="I94" i="15"/>
  <c r="AK94" i="15" s="1"/>
  <c r="H94" i="15"/>
  <c r="AJ94" i="15" s="1"/>
  <c r="G94" i="15"/>
  <c r="AI94" i="15" s="1"/>
  <c r="J94" i="15"/>
  <c r="AL94" i="15" s="1"/>
  <c r="AF94" i="15"/>
  <c r="F94" i="15"/>
  <c r="AH94" i="15" s="1"/>
  <c r="L94" i="15"/>
  <c r="AN94" i="15" s="1"/>
  <c r="K94" i="15"/>
  <c r="AM94" i="15" s="1"/>
  <c r="E94" i="15"/>
  <c r="AG94" i="15" s="1"/>
  <c r="G98" i="15"/>
  <c r="Q98" i="15"/>
  <c r="P98" i="15"/>
  <c r="O98" i="15"/>
  <c r="H98" i="15"/>
  <c r="AF98" i="15"/>
  <c r="J98" i="15"/>
  <c r="I98" i="15"/>
  <c r="K98" i="15"/>
  <c r="E98" i="15"/>
  <c r="F98" i="15"/>
  <c r="N98" i="15"/>
  <c r="L98" i="15"/>
  <c r="M98" i="15"/>
  <c r="J93" i="15"/>
  <c r="AL93" i="15" s="1"/>
  <c r="K93" i="15"/>
  <c r="AM93" i="15" s="1"/>
  <c r="I93" i="15"/>
  <c r="AK93" i="15" s="1"/>
  <c r="E93" i="15"/>
  <c r="AG93" i="15" s="1"/>
  <c r="G93" i="15"/>
  <c r="AI93" i="15" s="1"/>
  <c r="L93" i="15"/>
  <c r="AN93" i="15" s="1"/>
  <c r="AF93" i="15"/>
  <c r="H93" i="15"/>
  <c r="AJ93" i="15" s="1"/>
  <c r="Q97" i="15"/>
  <c r="K97" i="15"/>
  <c r="J97" i="15"/>
  <c r="I97" i="15"/>
  <c r="L97" i="15"/>
  <c r="O97" i="15"/>
  <c r="F97" i="15"/>
  <c r="N97" i="15"/>
  <c r="E97" i="15"/>
  <c r="H97" i="15"/>
  <c r="M97" i="15"/>
  <c r="G97" i="15"/>
  <c r="P97" i="15"/>
  <c r="AF97" i="15"/>
  <c r="N95" i="15"/>
  <c r="AP95" i="15" s="1"/>
  <c r="M95" i="15"/>
  <c r="AO95" i="15" s="1"/>
  <c r="J95" i="15"/>
  <c r="AL95" i="15" s="1"/>
  <c r="H95" i="15"/>
  <c r="AJ95" i="15" s="1"/>
  <c r="AF95" i="15"/>
  <c r="E95" i="15"/>
  <c r="AG95" i="15" s="1"/>
  <c r="G95" i="15"/>
  <c r="AI95" i="15" s="1"/>
  <c r="F95" i="15"/>
  <c r="AH95" i="15" s="1"/>
  <c r="P95" i="15"/>
  <c r="AR95" i="15" s="1"/>
  <c r="O95" i="15"/>
  <c r="AQ95" i="15" s="1"/>
  <c r="L95" i="15"/>
  <c r="AN95" i="15" s="1"/>
  <c r="I95" i="15"/>
  <c r="AK95" i="15" s="1"/>
  <c r="Q95" i="15"/>
  <c r="AS95" i="15" s="1"/>
  <c r="K95" i="15"/>
  <c r="AM95" i="15" s="1"/>
  <c r="E100" i="15"/>
  <c r="AG100" i="15" s="1"/>
  <c r="J100" i="15"/>
  <c r="AL100" i="15" s="1"/>
  <c r="L100" i="15"/>
  <c r="AN100" i="15" s="1"/>
  <c r="F100" i="15"/>
  <c r="AH100" i="15" s="1"/>
  <c r="G100" i="15"/>
  <c r="AI100" i="15" s="1"/>
  <c r="H100" i="15"/>
  <c r="AJ100" i="15" s="1"/>
  <c r="I100" i="15"/>
  <c r="AK100" i="15" s="1"/>
  <c r="K100" i="15"/>
  <c r="AM100" i="15" s="1"/>
  <c r="AF100" i="15"/>
  <c r="E96" i="15"/>
  <c r="AG96" i="15" s="1"/>
  <c r="AF96" i="15"/>
  <c r="G96" i="15"/>
  <c r="AI96" i="15" s="1"/>
  <c r="J96" i="15"/>
  <c r="AL96" i="15" s="1"/>
  <c r="F96" i="15"/>
  <c r="AH96" i="15" s="1"/>
  <c r="H96" i="15"/>
  <c r="AJ96" i="15" s="1"/>
  <c r="I96" i="15"/>
  <c r="AK96" i="15" s="1"/>
  <c r="L96" i="15"/>
  <c r="AN96" i="15" s="1"/>
  <c r="K96" i="15"/>
  <c r="AM96" i="15" s="1"/>
  <c r="AQ57" i="15"/>
  <c r="P57" i="15"/>
  <c r="AF57" i="15"/>
  <c r="F57" i="15"/>
  <c r="I57" i="15"/>
  <c r="AN57" i="15"/>
  <c r="O57" i="15"/>
  <c r="AI57" i="15"/>
  <c r="Q57" i="15"/>
  <c r="AR57" i="15"/>
  <c r="L57" i="15"/>
  <c r="AM57" i="15"/>
  <c r="AK57" i="15"/>
  <c r="AH57" i="15"/>
  <c r="N57" i="15"/>
  <c r="H57" i="15"/>
  <c r="AP57" i="15"/>
  <c r="G57" i="15"/>
  <c r="K57" i="15"/>
  <c r="AJ57" i="15"/>
  <c r="AL57" i="15"/>
  <c r="AG57" i="15"/>
  <c r="AS57" i="15"/>
  <c r="J57" i="15"/>
  <c r="AO57" i="15"/>
  <c r="E57" i="15"/>
  <c r="W134" i="24"/>
  <c r="U134" i="24"/>
  <c r="AC134" i="24" s="1"/>
  <c r="W133" i="24"/>
  <c r="U133" i="24"/>
  <c r="W132" i="24"/>
  <c r="U132" i="24"/>
  <c r="W131" i="24"/>
  <c r="U131" i="24"/>
  <c r="W130" i="24"/>
  <c r="U130" i="24"/>
  <c r="AC130" i="24" s="1"/>
  <c r="W129" i="24"/>
  <c r="U129" i="24"/>
  <c r="W128" i="24"/>
  <c r="U128" i="24"/>
  <c r="V128" i="24" s="1"/>
  <c r="W127" i="24"/>
  <c r="U127" i="24"/>
  <c r="W126" i="24"/>
  <c r="U126" i="24"/>
  <c r="W125" i="24"/>
  <c r="U125" i="24"/>
  <c r="AC125" i="24" s="1"/>
  <c r="W124" i="24"/>
  <c r="U124" i="24"/>
  <c r="W123" i="24"/>
  <c r="U123" i="24"/>
  <c r="AC123" i="24" s="1"/>
  <c r="W122" i="24"/>
  <c r="U122" i="24"/>
  <c r="W121" i="24"/>
  <c r="U121" i="24"/>
  <c r="W120" i="24"/>
  <c r="U120" i="24"/>
  <c r="W119" i="24"/>
  <c r="U119" i="24"/>
  <c r="AC119" i="24" s="1"/>
  <c r="W118" i="24"/>
  <c r="U118" i="24"/>
  <c r="W117" i="24"/>
  <c r="U117" i="24"/>
  <c r="AC117" i="24" s="1"/>
  <c r="W116" i="24"/>
  <c r="U116" i="24"/>
  <c r="AC116" i="24" s="1"/>
  <c r="W115" i="24"/>
  <c r="U115" i="24"/>
  <c r="AC115" i="24" s="1"/>
  <c r="W114" i="24"/>
  <c r="U114" i="24"/>
  <c r="W113" i="24"/>
  <c r="U113" i="24"/>
  <c r="W112" i="24"/>
  <c r="U112" i="24"/>
  <c r="AC112" i="24" s="1"/>
  <c r="W111" i="24"/>
  <c r="U111" i="24"/>
  <c r="AC111" i="24" s="1"/>
  <c r="W110" i="24"/>
  <c r="U110" i="24"/>
  <c r="W109" i="24"/>
  <c r="U109" i="24"/>
  <c r="AC109" i="24" s="1"/>
  <c r="W108" i="24"/>
  <c r="U108" i="24"/>
  <c r="AC108" i="24" s="1"/>
  <c r="W107" i="24"/>
  <c r="U107" i="24"/>
  <c r="AC107" i="24" s="1"/>
  <c r="W106" i="24"/>
  <c r="U106" i="24"/>
  <c r="AC106" i="24" s="1"/>
  <c r="W105" i="24"/>
  <c r="U105" i="24"/>
  <c r="W104" i="24"/>
  <c r="U104" i="24"/>
  <c r="W103" i="24"/>
  <c r="U103" i="24"/>
  <c r="AC103" i="24" s="1"/>
  <c r="W102" i="24"/>
  <c r="U102" i="24"/>
  <c r="AC102" i="24" s="1"/>
  <c r="W101" i="24"/>
  <c r="U101" i="24"/>
  <c r="AC101" i="24" s="1"/>
  <c r="W100" i="24"/>
  <c r="U100" i="24"/>
  <c r="W99" i="24"/>
  <c r="U99" i="24"/>
  <c r="AC99" i="24" s="1"/>
  <c r="W98" i="24"/>
  <c r="U98" i="24"/>
  <c r="W97" i="24"/>
  <c r="U97" i="24"/>
  <c r="AC97" i="24" s="1"/>
  <c r="W96" i="24"/>
  <c r="U96" i="24"/>
  <c r="W95" i="24"/>
  <c r="U95" i="24"/>
  <c r="AC95" i="24" s="1"/>
  <c r="W94" i="24"/>
  <c r="U94" i="24"/>
  <c r="W93" i="24"/>
  <c r="U93" i="24"/>
  <c r="AC93" i="24" s="1"/>
  <c r="W92" i="24"/>
  <c r="U92" i="24"/>
  <c r="W91" i="24"/>
  <c r="U91" i="24"/>
  <c r="AC91" i="24" s="1"/>
  <c r="W90" i="24"/>
  <c r="U90" i="24"/>
  <c r="W89" i="24"/>
  <c r="U89" i="24"/>
  <c r="AC89" i="24" s="1"/>
  <c r="W88" i="24"/>
  <c r="U88" i="24"/>
  <c r="W87" i="24"/>
  <c r="U87" i="24"/>
  <c r="AC87" i="24" s="1"/>
  <c r="W86" i="24"/>
  <c r="U86" i="24"/>
  <c r="W85" i="24"/>
  <c r="U85" i="24"/>
  <c r="AC85" i="24" s="1"/>
  <c r="W84" i="24"/>
  <c r="U84" i="24"/>
  <c r="W83" i="24"/>
  <c r="U83" i="24"/>
  <c r="AC83" i="24" s="1"/>
  <c r="W82" i="24"/>
  <c r="U82" i="24"/>
  <c r="W81" i="24"/>
  <c r="U81" i="24"/>
  <c r="AC81" i="24" s="1"/>
  <c r="W80" i="24"/>
  <c r="U80" i="24"/>
  <c r="W79" i="24"/>
  <c r="U79" i="24"/>
  <c r="AC79" i="24" s="1"/>
  <c r="W78" i="24"/>
  <c r="U78" i="24"/>
  <c r="W77" i="24"/>
  <c r="U77" i="24"/>
  <c r="AC77" i="24" s="1"/>
  <c r="W76" i="24"/>
  <c r="U76" i="24"/>
  <c r="W75" i="24"/>
  <c r="U75" i="24"/>
  <c r="AC75" i="24" s="1"/>
  <c r="W74" i="24"/>
  <c r="U74" i="24"/>
  <c r="W73" i="24"/>
  <c r="U73" i="24"/>
  <c r="AC73" i="24" s="1"/>
  <c r="W72" i="24"/>
  <c r="U72" i="24"/>
  <c r="W71" i="24"/>
  <c r="U71" i="24"/>
  <c r="AC71" i="24" s="1"/>
  <c r="W70" i="24"/>
  <c r="U70" i="24"/>
  <c r="W69" i="24"/>
  <c r="U69" i="24"/>
  <c r="AC69" i="24" s="1"/>
  <c r="W68" i="24"/>
  <c r="U68" i="24"/>
  <c r="W67" i="24"/>
  <c r="U67" i="24"/>
  <c r="AC67" i="24" s="1"/>
  <c r="W66" i="24"/>
  <c r="U66" i="24"/>
  <c r="W65" i="24"/>
  <c r="U65" i="24"/>
  <c r="AC65" i="24" s="1"/>
  <c r="W64" i="24"/>
  <c r="U64" i="24"/>
  <c r="W63" i="24"/>
  <c r="U63" i="24"/>
  <c r="AC63" i="24" s="1"/>
  <c r="W62" i="24"/>
  <c r="U62" i="24"/>
  <c r="W61" i="24"/>
  <c r="U61" i="24"/>
  <c r="AC61" i="24" s="1"/>
  <c r="W60" i="24"/>
  <c r="U60" i="24"/>
  <c r="W59" i="24"/>
  <c r="U59" i="24"/>
  <c r="AC59" i="24" s="1"/>
  <c r="W58" i="24"/>
  <c r="U58" i="24"/>
  <c r="W57" i="24"/>
  <c r="U57" i="24"/>
  <c r="AC57" i="24" s="1"/>
  <c r="W56" i="24"/>
  <c r="U56" i="24"/>
  <c r="W55" i="24"/>
  <c r="U55" i="24"/>
  <c r="AC55" i="24" s="1"/>
  <c r="W54" i="24"/>
  <c r="U54" i="24"/>
  <c r="W53" i="24"/>
  <c r="U53" i="24"/>
  <c r="AC53" i="24" s="1"/>
  <c r="W52" i="24"/>
  <c r="U52" i="24"/>
  <c r="W51" i="24"/>
  <c r="U51" i="24"/>
  <c r="AC51" i="24" s="1"/>
  <c r="W50" i="24"/>
  <c r="U50" i="24"/>
  <c r="W49" i="24"/>
  <c r="U49" i="24"/>
  <c r="AC49" i="24" s="1"/>
  <c r="W48" i="24"/>
  <c r="U48" i="24"/>
  <c r="W47" i="24"/>
  <c r="U47" i="24"/>
  <c r="AC47" i="24" s="1"/>
  <c r="W46" i="24"/>
  <c r="U46" i="24"/>
  <c r="W45" i="24"/>
  <c r="U45" i="24"/>
  <c r="AC45" i="24" s="1"/>
  <c r="W44" i="24"/>
  <c r="U44" i="24"/>
  <c r="W43" i="24"/>
  <c r="U43" i="24"/>
  <c r="AC43" i="24" s="1"/>
  <c r="W42" i="24"/>
  <c r="O44" i="15" s="1"/>
  <c r="U42" i="24"/>
  <c r="AC42" i="24" s="1"/>
  <c r="W41" i="24"/>
  <c r="U41" i="24"/>
  <c r="AC41" i="24" s="1"/>
  <c r="W40" i="24"/>
  <c r="O42" i="15" s="1"/>
  <c r="U40" i="24"/>
  <c r="AC40" i="24" s="1"/>
  <c r="W39" i="24"/>
  <c r="O28" i="15" s="1"/>
  <c r="U39" i="24"/>
  <c r="AC39" i="24" s="1"/>
  <c r="W38" i="24"/>
  <c r="O40" i="15" s="1"/>
  <c r="U38" i="24"/>
  <c r="AC38" i="24" s="1"/>
  <c r="W37" i="24"/>
  <c r="O26" i="15" s="1"/>
  <c r="U37" i="24"/>
  <c r="AC37" i="24" s="1"/>
  <c r="W36" i="24"/>
  <c r="O38" i="15" s="1"/>
  <c r="U36" i="24"/>
  <c r="AC36" i="24" s="1"/>
  <c r="W35" i="24"/>
  <c r="O24" i="15" s="1"/>
  <c r="U35" i="24"/>
  <c r="AC35" i="24" s="1"/>
  <c r="W34" i="24"/>
  <c r="O37" i="15" s="1"/>
  <c r="U34" i="24"/>
  <c r="AC34" i="24" s="1"/>
  <c r="W33" i="24"/>
  <c r="O23" i="15" s="1"/>
  <c r="U33" i="24"/>
  <c r="AC33" i="24" s="1"/>
  <c r="W32" i="24"/>
  <c r="L175" i="11" s="1"/>
  <c r="L179" i="11" s="1"/>
  <c r="U32" i="24"/>
  <c r="AC32" i="24" s="1"/>
  <c r="W31" i="24"/>
  <c r="U31" i="24"/>
  <c r="AC31" i="24" s="1"/>
  <c r="W30" i="24"/>
  <c r="O128" i="15" s="1"/>
  <c r="U30" i="24"/>
  <c r="AC30" i="24" s="1"/>
  <c r="W29" i="24"/>
  <c r="U29" i="24"/>
  <c r="AC29" i="24" s="1"/>
  <c r="W28" i="24"/>
  <c r="U28" i="24"/>
  <c r="AC28" i="24" s="1"/>
  <c r="W27" i="24"/>
  <c r="U27" i="24"/>
  <c r="AC27" i="24" s="1"/>
  <c r="W26" i="24"/>
  <c r="O122" i="15" s="1"/>
  <c r="U26" i="24"/>
  <c r="AC26" i="24" s="1"/>
  <c r="W25" i="24"/>
  <c r="U25" i="24"/>
  <c r="AC25" i="24" s="1"/>
  <c r="W24" i="24"/>
  <c r="U24" i="24"/>
  <c r="AC24" i="24" s="1"/>
  <c r="W23" i="24"/>
  <c r="U23" i="24"/>
  <c r="AC23" i="24" s="1"/>
  <c r="W22" i="24"/>
  <c r="U22" i="24"/>
  <c r="W21" i="24"/>
  <c r="U21" i="24"/>
  <c r="AC21" i="24" s="1"/>
  <c r="W20" i="24"/>
  <c r="U20" i="24"/>
  <c r="AC20" i="24" s="1"/>
  <c r="W19" i="24"/>
  <c r="O142" i="15" s="1"/>
  <c r="U19" i="24"/>
  <c r="W18" i="24"/>
  <c r="U18" i="24"/>
  <c r="AC18" i="24" s="1"/>
  <c r="W17" i="24"/>
  <c r="U17" i="24"/>
  <c r="AC17" i="24" s="1"/>
  <c r="W16" i="24"/>
  <c r="U16" i="24"/>
  <c r="AC16" i="24" s="1"/>
  <c r="W15" i="24"/>
  <c r="O67" i="15" s="1"/>
  <c r="U15" i="24"/>
  <c r="AC15" i="24" s="1"/>
  <c r="W14" i="24"/>
  <c r="U14" i="24"/>
  <c r="AC14" i="24" s="1"/>
  <c r="W13" i="24"/>
  <c r="U13" i="24"/>
  <c r="AC13" i="24" s="1"/>
  <c r="W12" i="24"/>
  <c r="U12" i="24"/>
  <c r="AC12" i="24" s="1"/>
  <c r="W11" i="24"/>
  <c r="U11" i="24"/>
  <c r="W134" i="19"/>
  <c r="W133" i="19"/>
  <c r="W132" i="19"/>
  <c r="W131" i="19"/>
  <c r="W130" i="19"/>
  <c r="W129" i="19"/>
  <c r="W128" i="19"/>
  <c r="W127" i="19"/>
  <c r="W126" i="19"/>
  <c r="W125" i="19"/>
  <c r="W124" i="19"/>
  <c r="W123" i="19"/>
  <c r="W122" i="19"/>
  <c r="W121" i="19"/>
  <c r="W120" i="19"/>
  <c r="W119" i="19"/>
  <c r="W118" i="19"/>
  <c r="W117" i="19"/>
  <c r="W116" i="19"/>
  <c r="W115" i="19"/>
  <c r="W114" i="19"/>
  <c r="W113" i="19"/>
  <c r="W112" i="19"/>
  <c r="W111" i="19"/>
  <c r="W110" i="19"/>
  <c r="W109" i="19"/>
  <c r="W108" i="19"/>
  <c r="W107" i="19"/>
  <c r="W106" i="19"/>
  <c r="W105" i="19"/>
  <c r="W104" i="19"/>
  <c r="W103" i="19"/>
  <c r="W102" i="19"/>
  <c r="W101" i="19"/>
  <c r="W100" i="19"/>
  <c r="W99" i="19"/>
  <c r="W98" i="19"/>
  <c r="W97" i="19"/>
  <c r="W96" i="19"/>
  <c r="W95" i="19"/>
  <c r="W94" i="19"/>
  <c r="W93" i="19"/>
  <c r="W92" i="19"/>
  <c r="W91" i="19"/>
  <c r="W90" i="19"/>
  <c r="W89" i="19"/>
  <c r="W88" i="19"/>
  <c r="W87" i="19"/>
  <c r="W86" i="19"/>
  <c r="W85" i="19"/>
  <c r="W84" i="19"/>
  <c r="W83" i="19"/>
  <c r="W82" i="19"/>
  <c r="W81" i="19"/>
  <c r="W80" i="19"/>
  <c r="W79" i="19"/>
  <c r="W78" i="19"/>
  <c r="W77" i="19"/>
  <c r="W76" i="19"/>
  <c r="W75" i="19"/>
  <c r="W74" i="19"/>
  <c r="W73" i="19"/>
  <c r="W72" i="19"/>
  <c r="W71" i="19"/>
  <c r="W70" i="19"/>
  <c r="W69" i="19"/>
  <c r="W68" i="19"/>
  <c r="W67" i="19"/>
  <c r="W66" i="19"/>
  <c r="W65" i="19"/>
  <c r="W64" i="19"/>
  <c r="W63" i="19"/>
  <c r="W62" i="19"/>
  <c r="W61" i="19"/>
  <c r="W60" i="19"/>
  <c r="W59" i="19"/>
  <c r="W58" i="19"/>
  <c r="W57" i="19"/>
  <c r="W56" i="19"/>
  <c r="W55" i="19"/>
  <c r="W54" i="19"/>
  <c r="W53" i="19"/>
  <c r="W52" i="19"/>
  <c r="W51" i="19"/>
  <c r="W50" i="19"/>
  <c r="W49" i="19"/>
  <c r="W48" i="19"/>
  <c r="W47" i="19"/>
  <c r="W46" i="19"/>
  <c r="W45" i="19"/>
  <c r="W44" i="19"/>
  <c r="W43" i="19"/>
  <c r="W42" i="19"/>
  <c r="AC44" i="15" s="1"/>
  <c r="W41" i="19"/>
  <c r="W40" i="19"/>
  <c r="AC42" i="15" s="1"/>
  <c r="W39" i="19"/>
  <c r="AC28" i="15" s="1"/>
  <c r="W38" i="19"/>
  <c r="AC40" i="15" s="1"/>
  <c r="W37" i="19"/>
  <c r="AC26" i="15" s="1"/>
  <c r="W36" i="19"/>
  <c r="AC38" i="15" s="1"/>
  <c r="W35" i="19"/>
  <c r="AC24" i="15" s="1"/>
  <c r="W34" i="19"/>
  <c r="AC37" i="15" s="1"/>
  <c r="W33" i="19"/>
  <c r="AC23" i="15" s="1"/>
  <c r="W32" i="19"/>
  <c r="L189" i="11" s="1"/>
  <c r="W31" i="19"/>
  <c r="L188" i="11" s="1"/>
  <c r="W30" i="19"/>
  <c r="AC128" i="15" s="1"/>
  <c r="W29" i="19"/>
  <c r="W28" i="19"/>
  <c r="W27" i="19"/>
  <c r="W26" i="19"/>
  <c r="W25" i="19"/>
  <c r="AC108" i="15" s="1"/>
  <c r="W24" i="19"/>
  <c r="W23" i="19"/>
  <c r="W22" i="19"/>
  <c r="L190" i="11" s="1"/>
  <c r="W21" i="19"/>
  <c r="W20" i="19"/>
  <c r="W19" i="19"/>
  <c r="AC71" i="15" s="1"/>
  <c r="AC57" i="15" s="1"/>
  <c r="W18" i="19"/>
  <c r="W17" i="19"/>
  <c r="W16" i="19"/>
  <c r="W15" i="19"/>
  <c r="AC67" i="15" s="1"/>
  <c r="W14" i="19"/>
  <c r="AC66" i="15" s="1"/>
  <c r="W13" i="19"/>
  <c r="W12" i="19"/>
  <c r="W11" i="19"/>
  <c r="U134" i="19"/>
  <c r="AC134" i="19" s="1"/>
  <c r="U133" i="19"/>
  <c r="AC133" i="19" s="1"/>
  <c r="U132" i="19"/>
  <c r="AC132" i="19" s="1"/>
  <c r="U131" i="19"/>
  <c r="AC131" i="19" s="1"/>
  <c r="U130" i="19"/>
  <c r="AC130" i="19" s="1"/>
  <c r="U129" i="19"/>
  <c r="U128" i="19"/>
  <c r="U127" i="19"/>
  <c r="U126" i="19"/>
  <c r="U125" i="19"/>
  <c r="AC125" i="19" s="1"/>
  <c r="U124" i="19"/>
  <c r="U123" i="19"/>
  <c r="AC123" i="19" s="1"/>
  <c r="U122" i="19"/>
  <c r="AC122" i="19" s="1"/>
  <c r="U121" i="19"/>
  <c r="U120" i="19"/>
  <c r="U119" i="19"/>
  <c r="U118" i="19"/>
  <c r="U117" i="19"/>
  <c r="AC117" i="19" s="1"/>
  <c r="U116" i="19"/>
  <c r="U115" i="19"/>
  <c r="AC115" i="19" s="1"/>
  <c r="U114" i="19"/>
  <c r="AC114" i="19" s="1"/>
  <c r="U113" i="19"/>
  <c r="U112" i="19"/>
  <c r="U111" i="19"/>
  <c r="U110" i="19"/>
  <c r="U109" i="19"/>
  <c r="AC109" i="19" s="1"/>
  <c r="U108" i="19"/>
  <c r="AC108" i="19" s="1"/>
  <c r="U107" i="19"/>
  <c r="AC107" i="19" s="1"/>
  <c r="U106" i="19"/>
  <c r="AC106" i="19" s="1"/>
  <c r="U105" i="19"/>
  <c r="U104" i="19"/>
  <c r="U103" i="19"/>
  <c r="U102" i="19"/>
  <c r="U101" i="19"/>
  <c r="AC101" i="19" s="1"/>
  <c r="U100" i="19"/>
  <c r="AC100" i="19" s="1"/>
  <c r="U99" i="19"/>
  <c r="AC99" i="19" s="1"/>
  <c r="U98" i="19"/>
  <c r="AC98" i="19" s="1"/>
  <c r="U97" i="19"/>
  <c r="U96" i="19"/>
  <c r="U95" i="19"/>
  <c r="U94" i="19"/>
  <c r="AC94" i="19" s="1"/>
  <c r="U93" i="19"/>
  <c r="AC93" i="19" s="1"/>
  <c r="U92" i="19"/>
  <c r="AC92" i="19" s="1"/>
  <c r="U91" i="19"/>
  <c r="AC91" i="19" s="1"/>
  <c r="U90" i="19"/>
  <c r="AC90" i="19" s="1"/>
  <c r="U89" i="19"/>
  <c r="U88" i="19"/>
  <c r="U87" i="19"/>
  <c r="U86" i="19"/>
  <c r="AC86" i="19" s="1"/>
  <c r="U85" i="19"/>
  <c r="AC85" i="19" s="1"/>
  <c r="U84" i="19"/>
  <c r="AC84" i="19" s="1"/>
  <c r="U83" i="19"/>
  <c r="U82" i="19"/>
  <c r="AC82" i="19" s="1"/>
  <c r="U81" i="19"/>
  <c r="U80" i="19"/>
  <c r="U79" i="19"/>
  <c r="U78" i="19"/>
  <c r="U77" i="19"/>
  <c r="AC77" i="19" s="1"/>
  <c r="U76" i="19"/>
  <c r="AC76" i="19" s="1"/>
  <c r="U75" i="19"/>
  <c r="AC75" i="19" s="1"/>
  <c r="U74" i="19"/>
  <c r="AC74" i="19" s="1"/>
  <c r="U73" i="19"/>
  <c r="U72" i="19"/>
  <c r="U71" i="19"/>
  <c r="U70" i="19"/>
  <c r="U69" i="19"/>
  <c r="AC69" i="19" s="1"/>
  <c r="U68" i="19"/>
  <c r="U67" i="19"/>
  <c r="AC67" i="19" s="1"/>
  <c r="U66" i="19"/>
  <c r="AC66" i="19" s="1"/>
  <c r="U65" i="19"/>
  <c r="U64" i="19"/>
  <c r="U63" i="19"/>
  <c r="U62" i="19"/>
  <c r="U61" i="19"/>
  <c r="AC61" i="19" s="1"/>
  <c r="U60" i="19"/>
  <c r="U59" i="19"/>
  <c r="AC59" i="19" s="1"/>
  <c r="U58" i="19"/>
  <c r="AC58" i="19" s="1"/>
  <c r="U57" i="19"/>
  <c r="U56" i="19"/>
  <c r="U55" i="19"/>
  <c r="U54" i="19"/>
  <c r="U53" i="19"/>
  <c r="AC53" i="19" s="1"/>
  <c r="U52" i="19"/>
  <c r="U51" i="19"/>
  <c r="AC51" i="19" s="1"/>
  <c r="U50" i="19"/>
  <c r="AC50" i="19" s="1"/>
  <c r="U49" i="19"/>
  <c r="U48" i="19"/>
  <c r="U47" i="19"/>
  <c r="U46" i="19"/>
  <c r="U45" i="19"/>
  <c r="AC45" i="19" s="1"/>
  <c r="U44" i="19"/>
  <c r="U43" i="19"/>
  <c r="AC43" i="19" s="1"/>
  <c r="U42" i="19"/>
  <c r="AC42" i="19" s="1"/>
  <c r="U41" i="19"/>
  <c r="AC41" i="19" s="1"/>
  <c r="U40" i="19"/>
  <c r="AC40" i="19" s="1"/>
  <c r="U39" i="19"/>
  <c r="AC39" i="19" s="1"/>
  <c r="U38" i="19"/>
  <c r="AC38" i="19" s="1"/>
  <c r="U37" i="19"/>
  <c r="AC37" i="19" s="1"/>
  <c r="U36" i="19"/>
  <c r="AC36" i="19" s="1"/>
  <c r="U35" i="19"/>
  <c r="U34" i="19"/>
  <c r="AC34" i="19" s="1"/>
  <c r="U33" i="19"/>
  <c r="AC33" i="19" s="1"/>
  <c r="U32" i="19"/>
  <c r="AC32" i="19" s="1"/>
  <c r="U31" i="19"/>
  <c r="AC31" i="19" s="1"/>
  <c r="U30" i="19"/>
  <c r="AC30" i="19" s="1"/>
  <c r="U29" i="19"/>
  <c r="AC29" i="19" s="1"/>
  <c r="U28" i="19"/>
  <c r="U27" i="19"/>
  <c r="AC27" i="19" s="1"/>
  <c r="U26" i="19"/>
  <c r="AC26" i="19" s="1"/>
  <c r="U25" i="19"/>
  <c r="AC25" i="19" s="1"/>
  <c r="U24" i="19"/>
  <c r="AC24" i="19" s="1"/>
  <c r="U23" i="19"/>
  <c r="U22" i="19"/>
  <c r="AC22" i="19" s="1"/>
  <c r="U21" i="19"/>
  <c r="AC21" i="19" s="1"/>
  <c r="U20" i="19"/>
  <c r="U19" i="19"/>
  <c r="AC19" i="19" s="1"/>
  <c r="U18" i="19"/>
  <c r="AC18" i="19" s="1"/>
  <c r="U17" i="19"/>
  <c r="AC17" i="19" s="1"/>
  <c r="U16" i="19"/>
  <c r="AC16" i="19" s="1"/>
  <c r="U15" i="19"/>
  <c r="AC15" i="19" s="1"/>
  <c r="U14" i="19"/>
  <c r="AC14" i="19" s="1"/>
  <c r="U13" i="19"/>
  <c r="AC13" i="19" s="1"/>
  <c r="U12" i="19"/>
  <c r="AC12" i="19" s="1"/>
  <c r="U11" i="19"/>
  <c r="X131" i="19"/>
  <c r="Z131" i="19" s="1"/>
  <c r="V133" i="19"/>
  <c r="V109" i="19"/>
  <c r="Y109" i="19" s="1"/>
  <c r="AA109" i="19" s="1"/>
  <c r="V108" i="19"/>
  <c r="Y108" i="19" s="1"/>
  <c r="AA108" i="19" s="1"/>
  <c r="V107" i="19"/>
  <c r="V86" i="19"/>
  <c r="V59" i="19"/>
  <c r="V43" i="19"/>
  <c r="AC121" i="15" l="1"/>
  <c r="AC122" i="15"/>
  <c r="AC110" i="15"/>
  <c r="AC124" i="15"/>
  <c r="L186" i="11"/>
  <c r="AC114" i="15"/>
  <c r="O107" i="15"/>
  <c r="O110" i="15"/>
  <c r="O124" i="15"/>
  <c r="L172" i="11"/>
  <c r="O108" i="15"/>
  <c r="V67" i="19"/>
  <c r="V75" i="19"/>
  <c r="V115" i="19"/>
  <c r="V123" i="19"/>
  <c r="V91" i="19"/>
  <c r="Y91" i="19" s="1"/>
  <c r="AA91" i="19" s="1"/>
  <c r="V131" i="19"/>
  <c r="Y131" i="19" s="1"/>
  <c r="AA131" i="19" s="1"/>
  <c r="V92" i="19"/>
  <c r="Y92" i="19" s="1"/>
  <c r="AA92" i="19" s="1"/>
  <c r="V132" i="19"/>
  <c r="V99" i="19"/>
  <c r="V61" i="19"/>
  <c r="V44" i="19"/>
  <c r="Y44" i="19" s="1"/>
  <c r="AA44" i="19" s="1"/>
  <c r="AC44" i="19"/>
  <c r="V52" i="19"/>
  <c r="AC52" i="19"/>
  <c r="V60" i="19"/>
  <c r="Y60" i="19" s="1"/>
  <c r="AA60" i="19" s="1"/>
  <c r="AC60" i="19"/>
  <c r="V68" i="19"/>
  <c r="AC68" i="19"/>
  <c r="V116" i="19"/>
  <c r="AC116" i="19"/>
  <c r="V124" i="19"/>
  <c r="Y124" i="19" s="1"/>
  <c r="AA124" i="19" s="1"/>
  <c r="AC124" i="19"/>
  <c r="L193" i="11"/>
  <c r="L194" i="11" s="1"/>
  <c r="X127" i="24"/>
  <c r="Z127" i="24" s="1"/>
  <c r="AC127" i="24"/>
  <c r="AC69" i="15"/>
  <c r="V44" i="24"/>
  <c r="Y44" i="24" s="1"/>
  <c r="AA44" i="24" s="1"/>
  <c r="AC44" i="24"/>
  <c r="V48" i="24"/>
  <c r="Y48" i="24" s="1"/>
  <c r="AA48" i="24" s="1"/>
  <c r="AC48" i="24"/>
  <c r="X52" i="24"/>
  <c r="Z52" i="24" s="1"/>
  <c r="AC52" i="24"/>
  <c r="X56" i="24"/>
  <c r="Z56" i="24" s="1"/>
  <c r="AC56" i="24"/>
  <c r="X60" i="24"/>
  <c r="Z60" i="24" s="1"/>
  <c r="AC60" i="24"/>
  <c r="V64" i="24"/>
  <c r="Y64" i="24" s="1"/>
  <c r="AA64" i="24" s="1"/>
  <c r="AC64" i="24"/>
  <c r="X68" i="24"/>
  <c r="Z68" i="24" s="1"/>
  <c r="AC68" i="24"/>
  <c r="X72" i="24"/>
  <c r="Z72" i="24" s="1"/>
  <c r="AC72" i="24"/>
  <c r="X76" i="24"/>
  <c r="Z76" i="24" s="1"/>
  <c r="AC76" i="24"/>
  <c r="X80" i="24"/>
  <c r="Z80" i="24" s="1"/>
  <c r="AC80" i="24"/>
  <c r="V84" i="24"/>
  <c r="Y84" i="24" s="1"/>
  <c r="AA84" i="24" s="1"/>
  <c r="AC84" i="24"/>
  <c r="X88" i="24"/>
  <c r="Z88" i="24" s="1"/>
  <c r="AC88" i="24"/>
  <c r="X92" i="24"/>
  <c r="Z92" i="24" s="1"/>
  <c r="AC92" i="24"/>
  <c r="X96" i="24"/>
  <c r="Z96" i="24" s="1"/>
  <c r="AC96" i="24"/>
  <c r="X100" i="24"/>
  <c r="Z100" i="24" s="1"/>
  <c r="AC100" i="24"/>
  <c r="V104" i="24"/>
  <c r="Y104" i="24" s="1"/>
  <c r="AA104" i="24" s="1"/>
  <c r="AC104" i="24"/>
  <c r="X131" i="24"/>
  <c r="Z131" i="24" s="1"/>
  <c r="AC131" i="24"/>
  <c r="V46" i="19"/>
  <c r="Y46" i="19" s="1"/>
  <c r="AA46" i="19" s="1"/>
  <c r="AC46" i="19"/>
  <c r="V54" i="19"/>
  <c r="AC54" i="19"/>
  <c r="V110" i="19"/>
  <c r="AC110" i="19"/>
  <c r="V126" i="19"/>
  <c r="AC126" i="19"/>
  <c r="X120" i="24"/>
  <c r="Z120" i="24" s="1"/>
  <c r="AC120" i="24"/>
  <c r="V124" i="24"/>
  <c r="Y124" i="24" s="1"/>
  <c r="AA124" i="24" s="1"/>
  <c r="AC124" i="24"/>
  <c r="V27" i="19"/>
  <c r="V93" i="19"/>
  <c r="Y93" i="19" s="1"/>
  <c r="AA93" i="19" s="1"/>
  <c r="V117" i="19"/>
  <c r="X68" i="19"/>
  <c r="Z68" i="19" s="1"/>
  <c r="V47" i="19"/>
  <c r="Y47" i="19" s="1"/>
  <c r="AA47" i="19" s="1"/>
  <c r="AC47" i="19"/>
  <c r="V55" i="19"/>
  <c r="Y55" i="19" s="1"/>
  <c r="AA55" i="19" s="1"/>
  <c r="AC55" i="19"/>
  <c r="V63" i="19"/>
  <c r="Y63" i="19" s="1"/>
  <c r="AA63" i="19" s="1"/>
  <c r="AC63" i="19"/>
  <c r="V71" i="19"/>
  <c r="Y71" i="19" s="1"/>
  <c r="AA71" i="19" s="1"/>
  <c r="AC71" i="19"/>
  <c r="V79" i="19"/>
  <c r="Y79" i="19" s="1"/>
  <c r="AA79" i="19" s="1"/>
  <c r="AC79" i="19"/>
  <c r="V87" i="19"/>
  <c r="Y87" i="19" s="1"/>
  <c r="AA87" i="19" s="1"/>
  <c r="AC87" i="19"/>
  <c r="V95" i="19"/>
  <c r="Y95" i="19" s="1"/>
  <c r="AA95" i="19" s="1"/>
  <c r="AC95" i="19"/>
  <c r="V103" i="19"/>
  <c r="Y103" i="19" s="1"/>
  <c r="AA103" i="19" s="1"/>
  <c r="AC103" i="19"/>
  <c r="V111" i="19"/>
  <c r="Y111" i="19" s="1"/>
  <c r="AA111" i="19" s="1"/>
  <c r="AC111" i="19"/>
  <c r="V119" i="19"/>
  <c r="Y119" i="19" s="1"/>
  <c r="AA119" i="19" s="1"/>
  <c r="AC119" i="19"/>
  <c r="V127" i="19"/>
  <c r="Y127" i="19" s="1"/>
  <c r="AA127" i="19" s="1"/>
  <c r="AC127" i="19"/>
  <c r="V105" i="24"/>
  <c r="AC105" i="24"/>
  <c r="X132" i="24"/>
  <c r="Z132" i="24" s="1"/>
  <c r="AC132" i="24"/>
  <c r="O65" i="15"/>
  <c r="V113" i="24"/>
  <c r="AC113" i="24"/>
  <c r="V121" i="24"/>
  <c r="Y121" i="24" s="1"/>
  <c r="AA121" i="24" s="1"/>
  <c r="AC121" i="24"/>
  <c r="AC65" i="15"/>
  <c r="X46" i="24"/>
  <c r="Z46" i="24" s="1"/>
  <c r="AC46" i="24"/>
  <c r="X50" i="24"/>
  <c r="Z50" i="24" s="1"/>
  <c r="AC50" i="24"/>
  <c r="X54" i="24"/>
  <c r="Z54" i="24" s="1"/>
  <c r="AC54" i="24"/>
  <c r="X58" i="24"/>
  <c r="Z58" i="24" s="1"/>
  <c r="AC58" i="24"/>
  <c r="X62" i="24"/>
  <c r="Z62" i="24" s="1"/>
  <c r="AC62" i="24"/>
  <c r="X66" i="24"/>
  <c r="Z66" i="24" s="1"/>
  <c r="AC66" i="24"/>
  <c r="V70" i="24"/>
  <c r="Y70" i="24" s="1"/>
  <c r="AA70" i="24" s="1"/>
  <c r="AC70" i="24"/>
  <c r="V74" i="24"/>
  <c r="Y74" i="24" s="1"/>
  <c r="AA74" i="24" s="1"/>
  <c r="AC74" i="24"/>
  <c r="X78" i="24"/>
  <c r="Z78" i="24" s="1"/>
  <c r="AC78" i="24"/>
  <c r="X82" i="24"/>
  <c r="Z82" i="24" s="1"/>
  <c r="AC82" i="24"/>
  <c r="X86" i="24"/>
  <c r="Z86" i="24" s="1"/>
  <c r="AC86" i="24"/>
  <c r="X90" i="24"/>
  <c r="Z90" i="24" s="1"/>
  <c r="AC90" i="24"/>
  <c r="V94" i="24"/>
  <c r="Y94" i="24" s="1"/>
  <c r="AA94" i="24" s="1"/>
  <c r="AC94" i="24"/>
  <c r="V98" i="24"/>
  <c r="Y98" i="24" s="1"/>
  <c r="AA98" i="24" s="1"/>
  <c r="AC98" i="24"/>
  <c r="X110" i="24"/>
  <c r="Z110" i="24" s="1"/>
  <c r="AC110" i="24"/>
  <c r="V129" i="24"/>
  <c r="AC129" i="24"/>
  <c r="X133" i="24"/>
  <c r="Z133" i="24" s="1"/>
  <c r="AC133" i="24"/>
  <c r="X53" i="19"/>
  <c r="Z53" i="19" s="1"/>
  <c r="V62" i="19"/>
  <c r="AC62" i="19"/>
  <c r="V78" i="19"/>
  <c r="AC78" i="19"/>
  <c r="V102" i="19"/>
  <c r="AC102" i="19"/>
  <c r="V118" i="19"/>
  <c r="Y118" i="19" s="1"/>
  <c r="AA118" i="19" s="1"/>
  <c r="AC118" i="19"/>
  <c r="X48" i="19"/>
  <c r="Z48" i="19" s="1"/>
  <c r="AC48" i="19"/>
  <c r="X64" i="19"/>
  <c r="Z64" i="19" s="1"/>
  <c r="AC64" i="19"/>
  <c r="V80" i="19"/>
  <c r="Y80" i="19" s="1"/>
  <c r="AA80" i="19" s="1"/>
  <c r="AC80" i="19"/>
  <c r="V104" i="19"/>
  <c r="Y104" i="19" s="1"/>
  <c r="AA104" i="19" s="1"/>
  <c r="AC104" i="19"/>
  <c r="X112" i="19"/>
  <c r="Z112" i="19" s="1"/>
  <c r="AC112" i="19"/>
  <c r="X128" i="19"/>
  <c r="Z128" i="19" s="1"/>
  <c r="AC128" i="19"/>
  <c r="V77" i="19"/>
  <c r="V100" i="19"/>
  <c r="Y100" i="19" s="1"/>
  <c r="AA100" i="19" s="1"/>
  <c r="V125" i="19"/>
  <c r="X118" i="19"/>
  <c r="Z118" i="19" s="1"/>
  <c r="X49" i="19"/>
  <c r="Z49" i="19" s="1"/>
  <c r="AC49" i="19"/>
  <c r="X57" i="19"/>
  <c r="Z57" i="19" s="1"/>
  <c r="AC57" i="19"/>
  <c r="X65" i="19"/>
  <c r="Z65" i="19" s="1"/>
  <c r="AC65" i="19"/>
  <c r="V73" i="19"/>
  <c r="Y73" i="19" s="1"/>
  <c r="AA73" i="19" s="1"/>
  <c r="AC73" i="19"/>
  <c r="X81" i="19"/>
  <c r="Z81" i="19" s="1"/>
  <c r="AC81" i="19"/>
  <c r="X89" i="19"/>
  <c r="Z89" i="19" s="1"/>
  <c r="AC89" i="19"/>
  <c r="X97" i="19"/>
  <c r="Z97" i="19" s="1"/>
  <c r="AC97" i="19"/>
  <c r="X105" i="19"/>
  <c r="Z105" i="19" s="1"/>
  <c r="AC105" i="19"/>
  <c r="X113" i="19"/>
  <c r="Z113" i="19" s="1"/>
  <c r="AC113" i="19"/>
  <c r="X121" i="19"/>
  <c r="Z121" i="19" s="1"/>
  <c r="AC121" i="19"/>
  <c r="X129" i="19"/>
  <c r="Z129" i="19" s="1"/>
  <c r="AC129" i="19"/>
  <c r="V53" i="19"/>
  <c r="Y53" i="19" s="1"/>
  <c r="AA53" i="19" s="1"/>
  <c r="V84" i="19"/>
  <c r="V101" i="19"/>
  <c r="V128" i="19"/>
  <c r="Y128" i="19" s="1"/>
  <c r="AA128" i="19" s="1"/>
  <c r="V110" i="24"/>
  <c r="Y110" i="24" s="1"/>
  <c r="AA110" i="24" s="1"/>
  <c r="V114" i="24"/>
  <c r="AC114" i="24"/>
  <c r="V118" i="24"/>
  <c r="Y118" i="24" s="1"/>
  <c r="AA118" i="24" s="1"/>
  <c r="AC118" i="24"/>
  <c r="X122" i="24"/>
  <c r="Z122" i="24" s="1"/>
  <c r="AC122" i="24"/>
  <c r="X126" i="24"/>
  <c r="Z126" i="24" s="1"/>
  <c r="AC126" i="24"/>
  <c r="V69" i="19"/>
  <c r="Y69" i="19" s="1"/>
  <c r="AA69" i="19" s="1"/>
  <c r="X70" i="19"/>
  <c r="Z70" i="19" s="1"/>
  <c r="AC70" i="19"/>
  <c r="X128" i="24"/>
  <c r="Z128" i="24" s="1"/>
  <c r="AC128" i="24"/>
  <c r="V76" i="19"/>
  <c r="X78" i="19"/>
  <c r="Z78" i="19" s="1"/>
  <c r="V56" i="19"/>
  <c r="Y56" i="19" s="1"/>
  <c r="AA56" i="19" s="1"/>
  <c r="AC56" i="19"/>
  <c r="V72" i="19"/>
  <c r="Y72" i="19" s="1"/>
  <c r="AA72" i="19" s="1"/>
  <c r="AC72" i="19"/>
  <c r="V88" i="19"/>
  <c r="Y88" i="19" s="1"/>
  <c r="AA88" i="19" s="1"/>
  <c r="AC88" i="19"/>
  <c r="X96" i="19"/>
  <c r="Z96" i="19" s="1"/>
  <c r="AC96" i="19"/>
  <c r="V120" i="19"/>
  <c r="Y120" i="19" s="1"/>
  <c r="AA120" i="19" s="1"/>
  <c r="AC120" i="19"/>
  <c r="V45" i="19"/>
  <c r="Y45" i="19" s="1"/>
  <c r="AA45" i="19" s="1"/>
  <c r="V85" i="19"/>
  <c r="Y85" i="19" s="1"/>
  <c r="AA85" i="19" s="1"/>
  <c r="V83" i="19"/>
  <c r="Y83" i="19" s="1"/>
  <c r="AA83" i="19" s="1"/>
  <c r="AC83" i="19"/>
  <c r="AC23" i="19"/>
  <c r="Z150" i="11"/>
  <c r="D148" i="14"/>
  <c r="AC107" i="15"/>
  <c r="L192" i="11"/>
  <c r="D156" i="14"/>
  <c r="AC30" i="15"/>
  <c r="AC70" i="15"/>
  <c r="L187" i="11"/>
  <c r="AC64" i="15"/>
  <c r="AC72" i="15"/>
  <c r="AC142" i="15"/>
  <c r="AQ142" i="15" s="1"/>
  <c r="AC20" i="19"/>
  <c r="Z151" i="11"/>
  <c r="AA142" i="15"/>
  <c r="AC11" i="19"/>
  <c r="AA64" i="15"/>
  <c r="L173" i="11"/>
  <c r="O64" i="15"/>
  <c r="L174" i="11"/>
  <c r="O72" i="15"/>
  <c r="O69" i="15"/>
  <c r="AQ69" i="15" s="1"/>
  <c r="O30" i="15"/>
  <c r="AQ30" i="15" s="1"/>
  <c r="AC22" i="24"/>
  <c r="K150" i="11"/>
  <c r="C148" i="14"/>
  <c r="O66" i="15"/>
  <c r="O70" i="15"/>
  <c r="O114" i="15"/>
  <c r="L178" i="11"/>
  <c r="C156" i="14"/>
  <c r="AC11" i="24"/>
  <c r="L4" i="24" s="1"/>
  <c r="M64" i="15"/>
  <c r="AO64" i="15" s="1"/>
  <c r="AC19" i="24"/>
  <c r="K151" i="11"/>
  <c r="M142" i="15"/>
  <c r="V28" i="19"/>
  <c r="AC28" i="19"/>
  <c r="V35" i="19"/>
  <c r="Y35" i="19" s="1"/>
  <c r="AC35" i="19"/>
  <c r="V70" i="19"/>
  <c r="Y70" i="19" s="1"/>
  <c r="AA70" i="19" s="1"/>
  <c r="AA114" i="15"/>
  <c r="Z90" i="11"/>
  <c r="AC94" i="15"/>
  <c r="X108" i="24"/>
  <c r="Z108" i="24" s="1"/>
  <c r="X125" i="24"/>
  <c r="Z125" i="24" s="1"/>
  <c r="X43" i="24"/>
  <c r="Z43" i="24" s="1"/>
  <c r="X59" i="24"/>
  <c r="Z59" i="24" s="1"/>
  <c r="X75" i="24"/>
  <c r="Z75" i="24" s="1"/>
  <c r="L180" i="11"/>
  <c r="AC96" i="15"/>
  <c r="X93" i="24"/>
  <c r="Z93" i="24" s="1"/>
  <c r="Y105" i="24"/>
  <c r="AA105" i="24" s="1"/>
  <c r="M128" i="14"/>
  <c r="L176" i="11"/>
  <c r="AC100" i="15"/>
  <c r="K90" i="11"/>
  <c r="X102" i="24"/>
  <c r="Z102" i="24" s="1"/>
  <c r="X118" i="24"/>
  <c r="Z118" i="24" s="1"/>
  <c r="V126" i="24"/>
  <c r="Y126" i="24" s="1"/>
  <c r="AA126" i="24" s="1"/>
  <c r="X115" i="24"/>
  <c r="Z115" i="24" s="1"/>
  <c r="X134" i="24"/>
  <c r="Z134" i="24" s="1"/>
  <c r="V30" i="19"/>
  <c r="Y30" i="19" s="1"/>
  <c r="Z145" i="11"/>
  <c r="AA128" i="15"/>
  <c r="AA100" i="15" s="1"/>
  <c r="V38" i="19"/>
  <c r="AC127" i="11"/>
  <c r="Z127" i="11"/>
  <c r="AA40" i="15"/>
  <c r="AQ72" i="15"/>
  <c r="AQ124" i="15"/>
  <c r="AQ38" i="15"/>
  <c r="AQ42" i="15"/>
  <c r="V15" i="19"/>
  <c r="Z98" i="11"/>
  <c r="AA67" i="15"/>
  <c r="V31" i="19"/>
  <c r="Z108" i="11"/>
  <c r="V39" i="19"/>
  <c r="AC115" i="11"/>
  <c r="Z115" i="11"/>
  <c r="AA28" i="15"/>
  <c r="I100" i="14"/>
  <c r="Z96" i="11"/>
  <c r="AA65" i="15"/>
  <c r="Z81" i="11"/>
  <c r="I120" i="14"/>
  <c r="Z97" i="11"/>
  <c r="AA66" i="15"/>
  <c r="V23" i="19"/>
  <c r="Z83" i="11"/>
  <c r="AA107" i="15"/>
  <c r="Y28" i="19"/>
  <c r="V16" i="19"/>
  <c r="AC99" i="11" s="1"/>
  <c r="Z99" i="11"/>
  <c r="V24" i="19"/>
  <c r="Z138" i="11"/>
  <c r="AA121" i="15"/>
  <c r="X32" i="19"/>
  <c r="C189" i="11" s="1"/>
  <c r="C193" i="11" s="1"/>
  <c r="Z122" i="11"/>
  <c r="N64" i="14"/>
  <c r="V40" i="19"/>
  <c r="Z129" i="11"/>
  <c r="AA42" i="15"/>
  <c r="AQ65" i="15"/>
  <c r="AQ108" i="15"/>
  <c r="AQ26" i="15"/>
  <c r="V21" i="19"/>
  <c r="X25" i="19"/>
  <c r="Z84" i="11"/>
  <c r="AA108" i="15"/>
  <c r="X33" i="19"/>
  <c r="Z110" i="11"/>
  <c r="AA23" i="15"/>
  <c r="V41" i="19"/>
  <c r="Z117" i="11"/>
  <c r="AA30" i="15"/>
  <c r="I128" i="14"/>
  <c r="V13" i="19"/>
  <c r="Y13" i="19" s="1"/>
  <c r="Z113" i="11"/>
  <c r="AA26" i="15"/>
  <c r="X17" i="19"/>
  <c r="Z100" i="11"/>
  <c r="AA69" i="15"/>
  <c r="AD111" i="11"/>
  <c r="AA111" i="11"/>
  <c r="Z101" i="11"/>
  <c r="AA70" i="15"/>
  <c r="Z139" i="11"/>
  <c r="AA122" i="15"/>
  <c r="Z124" i="11"/>
  <c r="AA37" i="15"/>
  <c r="Z131" i="11"/>
  <c r="AA44" i="15"/>
  <c r="N128" i="14"/>
  <c r="AQ66" i="15"/>
  <c r="AQ70" i="15"/>
  <c r="AQ114" i="15"/>
  <c r="AQ122" i="15"/>
  <c r="AQ128" i="15"/>
  <c r="AQ37" i="15"/>
  <c r="AQ40" i="15"/>
  <c r="AQ44" i="15"/>
  <c r="V29" i="19"/>
  <c r="AC90" i="11" s="1"/>
  <c r="V19" i="19"/>
  <c r="Y19" i="19" s="1"/>
  <c r="Z102" i="11"/>
  <c r="AA71" i="15"/>
  <c r="AA57" i="15" s="1"/>
  <c r="AC111" i="11"/>
  <c r="Z111" i="11"/>
  <c r="AA24" i="15"/>
  <c r="AC115" i="15"/>
  <c r="AC93" i="15"/>
  <c r="Z136" i="11"/>
  <c r="N120" i="14"/>
  <c r="V37" i="19"/>
  <c r="Z94" i="11"/>
  <c r="I92" i="14"/>
  <c r="Z86" i="11"/>
  <c r="AA110" i="15"/>
  <c r="V12" i="19"/>
  <c r="Z95" i="11"/>
  <c r="V20" i="19"/>
  <c r="AC145" i="11" s="1"/>
  <c r="Z103" i="11"/>
  <c r="AA72" i="15"/>
  <c r="Z141" i="11"/>
  <c r="AA124" i="15"/>
  <c r="V36" i="19"/>
  <c r="V160" i="11" s="1"/>
  <c r="X160" i="11" s="1"/>
  <c r="AC125" i="11"/>
  <c r="Z125" i="11"/>
  <c r="AA38" i="15"/>
  <c r="N72" i="14"/>
  <c r="AQ67" i="15"/>
  <c r="AQ107" i="15"/>
  <c r="AQ110" i="15"/>
  <c r="AQ24" i="15"/>
  <c r="AQ28" i="15"/>
  <c r="K102" i="11"/>
  <c r="K115" i="11"/>
  <c r="M28" i="15"/>
  <c r="H128" i="14"/>
  <c r="X14" i="24"/>
  <c r="K97" i="11"/>
  <c r="M66" i="15"/>
  <c r="X18" i="24"/>
  <c r="K101" i="11"/>
  <c r="M70" i="15"/>
  <c r="V22" i="24"/>
  <c r="N150" i="11" s="1"/>
  <c r="M114" i="15"/>
  <c r="X26" i="24"/>
  <c r="K139" i="11"/>
  <c r="M122" i="15"/>
  <c r="X30" i="24"/>
  <c r="K145" i="11"/>
  <c r="M128" i="15"/>
  <c r="AO128" i="15" s="1"/>
  <c r="X34" i="24"/>
  <c r="K124" i="11"/>
  <c r="M37" i="15"/>
  <c r="AO37" i="15" s="1"/>
  <c r="X38" i="24"/>
  <c r="K127" i="11"/>
  <c r="M40" i="15"/>
  <c r="X42" i="24"/>
  <c r="K131" i="11"/>
  <c r="M44" i="15"/>
  <c r="AO44" i="15" s="1"/>
  <c r="O96" i="15"/>
  <c r="AQ96" i="15" s="1"/>
  <c r="O100" i="15"/>
  <c r="AQ100" i="15" s="1"/>
  <c r="O94" i="15"/>
  <c r="AQ94" i="15" s="1"/>
  <c r="AQ23" i="15"/>
  <c r="K98" i="11"/>
  <c r="M67" i="15"/>
  <c r="K111" i="11"/>
  <c r="M24" i="15"/>
  <c r="V12" i="24"/>
  <c r="K95" i="11"/>
  <c r="X16" i="24"/>
  <c r="Z16" i="24" s="1"/>
  <c r="K99" i="11"/>
  <c r="X20" i="24"/>
  <c r="K103" i="11"/>
  <c r="M72" i="15"/>
  <c r="AO72" i="15" s="1"/>
  <c r="V24" i="24"/>
  <c r="N138" i="11"/>
  <c r="K138" i="11"/>
  <c r="M121" i="15"/>
  <c r="X28" i="24"/>
  <c r="K141" i="11"/>
  <c r="M124" i="15"/>
  <c r="X32" i="24"/>
  <c r="K122" i="11"/>
  <c r="M64" i="14"/>
  <c r="X36" i="24"/>
  <c r="K125" i="11"/>
  <c r="M38" i="15"/>
  <c r="X40" i="24"/>
  <c r="K129" i="11"/>
  <c r="M42" i="15"/>
  <c r="AO42" i="15" s="1"/>
  <c r="H100" i="14"/>
  <c r="M72" i="14"/>
  <c r="K83" i="11"/>
  <c r="M107" i="15"/>
  <c r="K108" i="11"/>
  <c r="H64" i="14"/>
  <c r="H72" i="14"/>
  <c r="O121" i="15"/>
  <c r="AQ121" i="15" s="1"/>
  <c r="K96" i="11"/>
  <c r="M65" i="15"/>
  <c r="AO65" i="15" s="1"/>
  <c r="K100" i="11"/>
  <c r="M69" i="15"/>
  <c r="K81" i="11"/>
  <c r="H120" i="14"/>
  <c r="K84" i="11"/>
  <c r="M108" i="15"/>
  <c r="K136" i="11"/>
  <c r="M120" i="14"/>
  <c r="K110" i="11"/>
  <c r="M23" i="15"/>
  <c r="K113" i="11"/>
  <c r="M26" i="15"/>
  <c r="AO26" i="15" s="1"/>
  <c r="K117" i="11"/>
  <c r="M30" i="15"/>
  <c r="X11" i="24"/>
  <c r="P64" i="15" s="1"/>
  <c r="K94" i="11"/>
  <c r="H92" i="14"/>
  <c r="K86" i="11"/>
  <c r="M110" i="15"/>
  <c r="X19" i="19"/>
  <c r="X35" i="19"/>
  <c r="X43" i="19"/>
  <c r="Z43" i="19" s="1"/>
  <c r="X59" i="19"/>
  <c r="Z59" i="19" s="1"/>
  <c r="X67" i="19"/>
  <c r="Z67" i="19" s="1"/>
  <c r="X83" i="19"/>
  <c r="Z83" i="19" s="1"/>
  <c r="X99" i="19"/>
  <c r="Z99" i="19" s="1"/>
  <c r="X107" i="19"/>
  <c r="Z107" i="19" s="1"/>
  <c r="X123" i="19"/>
  <c r="Z123" i="19" s="1"/>
  <c r="X92" i="19"/>
  <c r="Z92" i="19" s="1"/>
  <c r="X132" i="19"/>
  <c r="Z132" i="19" s="1"/>
  <c r="X13" i="19"/>
  <c r="X21" i="19"/>
  <c r="X29" i="19"/>
  <c r="X37" i="19"/>
  <c r="X45" i="19"/>
  <c r="Z45" i="19" s="1"/>
  <c r="X61" i="19"/>
  <c r="Z61" i="19" s="1"/>
  <c r="X69" i="19"/>
  <c r="Z69" i="19" s="1"/>
  <c r="X77" i="19"/>
  <c r="Z77" i="19" s="1"/>
  <c r="X85" i="19"/>
  <c r="Z85" i="19" s="1"/>
  <c r="X93" i="19"/>
  <c r="Z93" i="19" s="1"/>
  <c r="X101" i="19"/>
  <c r="Z101" i="19" s="1"/>
  <c r="X117" i="19"/>
  <c r="Z117" i="19" s="1"/>
  <c r="X133" i="19"/>
  <c r="Z133" i="19" s="1"/>
  <c r="V20" i="24"/>
  <c r="X22" i="24"/>
  <c r="V36" i="24"/>
  <c r="N125" i="11" s="1"/>
  <c r="V42" i="24"/>
  <c r="N131" i="11" s="1"/>
  <c r="X48" i="24"/>
  <c r="Z48" i="24" s="1"/>
  <c r="V54" i="24"/>
  <c r="Y54" i="24" s="1"/>
  <c r="AA54" i="24" s="1"/>
  <c r="V68" i="24"/>
  <c r="Y68" i="24" s="1"/>
  <c r="AA68" i="24" s="1"/>
  <c r="X70" i="24"/>
  <c r="Z70" i="24" s="1"/>
  <c r="V78" i="24"/>
  <c r="Y78" i="24" s="1"/>
  <c r="AA78" i="24" s="1"/>
  <c r="V96" i="24"/>
  <c r="Y96" i="24" s="1"/>
  <c r="AA96" i="24" s="1"/>
  <c r="X98" i="24"/>
  <c r="Z98" i="24" s="1"/>
  <c r="X119" i="24"/>
  <c r="Z119" i="24" s="1"/>
  <c r="X130" i="24"/>
  <c r="Z130" i="24" s="1"/>
  <c r="X112" i="24"/>
  <c r="Z112" i="24" s="1"/>
  <c r="X116" i="24"/>
  <c r="Z116" i="24" s="1"/>
  <c r="V14" i="24"/>
  <c r="V34" i="24"/>
  <c r="V40" i="24"/>
  <c r="N129" i="11" s="1"/>
  <c r="V52" i="24"/>
  <c r="Y52" i="24" s="1"/>
  <c r="AA52" i="24" s="1"/>
  <c r="V62" i="24"/>
  <c r="Y62" i="24" s="1"/>
  <c r="AA62" i="24" s="1"/>
  <c r="V86" i="24"/>
  <c r="Y86" i="24" s="1"/>
  <c r="AA86" i="24" s="1"/>
  <c r="V102" i="24"/>
  <c r="Y102" i="24" s="1"/>
  <c r="AA102" i="24" s="1"/>
  <c r="X106" i="24"/>
  <c r="Z106" i="24" s="1"/>
  <c r="V32" i="24"/>
  <c r="N122" i="11" s="1"/>
  <c r="V50" i="24"/>
  <c r="Y50" i="24" s="1"/>
  <c r="AA50" i="24" s="1"/>
  <c r="V100" i="24"/>
  <c r="Y100" i="24" s="1"/>
  <c r="AA100" i="24" s="1"/>
  <c r="X107" i="24"/>
  <c r="Z107" i="24" s="1"/>
  <c r="Y114" i="24"/>
  <c r="AA114" i="24" s="1"/>
  <c r="V132" i="24"/>
  <c r="Y132" i="24" s="1"/>
  <c r="AA132" i="24" s="1"/>
  <c r="Y129" i="24"/>
  <c r="AA129" i="24" s="1"/>
  <c r="V134" i="24"/>
  <c r="Y134" i="24" s="1"/>
  <c r="AA134" i="24" s="1"/>
  <c r="X12" i="24"/>
  <c r="Z12" i="24" s="1"/>
  <c r="X24" i="24"/>
  <c r="V30" i="24"/>
  <c r="N145" i="11" s="1"/>
  <c r="X35" i="24"/>
  <c r="X44" i="24"/>
  <c r="Z44" i="24" s="1"/>
  <c r="V60" i="24"/>
  <c r="Y60" i="24" s="1"/>
  <c r="AA60" i="24" s="1"/>
  <c r="X64" i="24"/>
  <c r="Z64" i="24" s="1"/>
  <c r="V72" i="24"/>
  <c r="Y72" i="24" s="1"/>
  <c r="AA72" i="24" s="1"/>
  <c r="X74" i="24"/>
  <c r="Z74" i="24" s="1"/>
  <c r="V82" i="24"/>
  <c r="Y82" i="24" s="1"/>
  <c r="AA82" i="24" s="1"/>
  <c r="X84" i="24"/>
  <c r="Z84" i="24" s="1"/>
  <c r="V92" i="24"/>
  <c r="Y92" i="24" s="1"/>
  <c r="AA92" i="24" s="1"/>
  <c r="X94" i="24"/>
  <c r="Z94" i="24" s="1"/>
  <c r="X104" i="24"/>
  <c r="Z104" i="24" s="1"/>
  <c r="V112" i="24"/>
  <c r="Y112" i="24" s="1"/>
  <c r="AA112" i="24" s="1"/>
  <c r="X114" i="24"/>
  <c r="Z114" i="24" s="1"/>
  <c r="X117" i="24"/>
  <c r="Z117" i="24" s="1"/>
  <c r="V122" i="24"/>
  <c r="Y122" i="24" s="1"/>
  <c r="AA122" i="24" s="1"/>
  <c r="X124" i="24"/>
  <c r="Z124" i="24" s="1"/>
  <c r="V18" i="24"/>
  <c r="N101" i="11" s="1"/>
  <c r="V28" i="24"/>
  <c r="N141" i="11" s="1"/>
  <c r="V38" i="24"/>
  <c r="N127" i="11" s="1"/>
  <c r="V58" i="24"/>
  <c r="Y58" i="24" s="1"/>
  <c r="AA58" i="24" s="1"/>
  <c r="V80" i="24"/>
  <c r="Y80" i="24" s="1"/>
  <c r="AA80" i="24" s="1"/>
  <c r="X85" i="24"/>
  <c r="Z85" i="24" s="1"/>
  <c r="V90" i="24"/>
  <c r="Y90" i="24" s="1"/>
  <c r="AA90" i="24" s="1"/>
  <c r="V108" i="24"/>
  <c r="Y108" i="24" s="1"/>
  <c r="AA108" i="24" s="1"/>
  <c r="V120" i="24"/>
  <c r="Y120" i="24" s="1"/>
  <c r="AA120" i="24" s="1"/>
  <c r="V130" i="24"/>
  <c r="Y130" i="24" s="1"/>
  <c r="AA130" i="24" s="1"/>
  <c r="X123" i="24"/>
  <c r="Z123" i="24" s="1"/>
  <c r="V16" i="24"/>
  <c r="N99" i="11" s="1"/>
  <c r="V26" i="24"/>
  <c r="N139" i="11" s="1"/>
  <c r="V46" i="24"/>
  <c r="Y46" i="24" s="1"/>
  <c r="AA46" i="24" s="1"/>
  <c r="V56" i="24"/>
  <c r="Y56" i="24" s="1"/>
  <c r="AA56" i="24" s="1"/>
  <c r="V66" i="24"/>
  <c r="Y66" i="24" s="1"/>
  <c r="AA66" i="24" s="1"/>
  <c r="V76" i="24"/>
  <c r="Y76" i="24" s="1"/>
  <c r="AA76" i="24" s="1"/>
  <c r="V88" i="24"/>
  <c r="Y88" i="24" s="1"/>
  <c r="AA88" i="24" s="1"/>
  <c r="X101" i="24"/>
  <c r="Z101" i="24" s="1"/>
  <c r="V106" i="24"/>
  <c r="Y106" i="24" s="1"/>
  <c r="AA106" i="24" s="1"/>
  <c r="V116" i="24"/>
  <c r="Y116" i="24" s="1"/>
  <c r="AA116" i="24" s="1"/>
  <c r="Y128" i="24"/>
  <c r="AA128" i="24" s="1"/>
  <c r="X19" i="24"/>
  <c r="Z19" i="24" s="1"/>
  <c r="X99" i="24"/>
  <c r="Z99" i="24" s="1"/>
  <c r="X109" i="24"/>
  <c r="Z109" i="24" s="1"/>
  <c r="Y132" i="19"/>
  <c r="AA132" i="19" s="1"/>
  <c r="V96" i="19"/>
  <c r="Y96" i="19" s="1"/>
  <c r="AA96" i="19" s="1"/>
  <c r="Y117" i="19"/>
  <c r="AA117" i="19" s="1"/>
  <c r="X16" i="19"/>
  <c r="Z16" i="19" s="1"/>
  <c r="X80" i="19"/>
  <c r="Z80" i="19" s="1"/>
  <c r="Y76" i="19"/>
  <c r="AA76" i="19" s="1"/>
  <c r="Y133" i="19"/>
  <c r="AA133" i="19" s="1"/>
  <c r="V32" i="19"/>
  <c r="AC122" i="11" s="1"/>
  <c r="Y59" i="19"/>
  <c r="AA59" i="19" s="1"/>
  <c r="Y116" i="19"/>
  <c r="AA116" i="19" s="1"/>
  <c r="Y123" i="19"/>
  <c r="AA123" i="19" s="1"/>
  <c r="X28" i="19"/>
  <c r="Y52" i="19"/>
  <c r="AA52" i="19" s="1"/>
  <c r="Y68" i="19"/>
  <c r="AA68" i="19" s="1"/>
  <c r="V64" i="19"/>
  <c r="Y64" i="19" s="1"/>
  <c r="AA64" i="19" s="1"/>
  <c r="X30" i="19"/>
  <c r="X104" i="19"/>
  <c r="Z104" i="19" s="1"/>
  <c r="Y84" i="19"/>
  <c r="AA84" i="19" s="1"/>
  <c r="Y43" i="19"/>
  <c r="AA43" i="19" s="1"/>
  <c r="Y86" i="19"/>
  <c r="AA86" i="19" s="1"/>
  <c r="Y107" i="19"/>
  <c r="AA107" i="19" s="1"/>
  <c r="Y125" i="19"/>
  <c r="AA125" i="19" s="1"/>
  <c r="X40" i="19"/>
  <c r="X14" i="19"/>
  <c r="X22" i="19"/>
  <c r="Y54" i="19"/>
  <c r="AA54" i="19" s="1"/>
  <c r="Y62" i="19"/>
  <c r="AA62" i="19" s="1"/>
  <c r="Y78" i="19"/>
  <c r="AA78" i="19" s="1"/>
  <c r="X94" i="19"/>
  <c r="Z94" i="19" s="1"/>
  <c r="Y102" i="19"/>
  <c r="AA102" i="19" s="1"/>
  <c r="Y110" i="19"/>
  <c r="AA110" i="19" s="1"/>
  <c r="Y126" i="19"/>
  <c r="AA126" i="19" s="1"/>
  <c r="X134" i="19"/>
  <c r="Z134" i="19" s="1"/>
  <c r="X63" i="24"/>
  <c r="Z63" i="24" s="1"/>
  <c r="V63" i="24"/>
  <c r="Y63" i="24" s="1"/>
  <c r="AA63" i="24" s="1"/>
  <c r="X71" i="24"/>
  <c r="Z71" i="24" s="1"/>
  <c r="V71" i="24"/>
  <c r="Y71" i="24" s="1"/>
  <c r="AA71" i="24" s="1"/>
  <c r="X77" i="24"/>
  <c r="Z77" i="24" s="1"/>
  <c r="V77" i="24"/>
  <c r="Y77" i="24" s="1"/>
  <c r="AA77" i="24" s="1"/>
  <c r="V81" i="24"/>
  <c r="Y81" i="24" s="1"/>
  <c r="AA81" i="24" s="1"/>
  <c r="X81" i="24"/>
  <c r="Z81" i="24" s="1"/>
  <c r="X111" i="24"/>
  <c r="Z111" i="24" s="1"/>
  <c r="V111" i="24"/>
  <c r="Y111" i="24" s="1"/>
  <c r="AA111" i="24" s="1"/>
  <c r="X15" i="24"/>
  <c r="V15" i="24"/>
  <c r="N98" i="11" s="1"/>
  <c r="X21" i="24"/>
  <c r="V21" i="24"/>
  <c r="V25" i="24"/>
  <c r="N84" i="11" s="1"/>
  <c r="X25" i="24"/>
  <c r="X27" i="24"/>
  <c r="X79" i="24"/>
  <c r="Z79" i="24" s="1"/>
  <c r="V79" i="24"/>
  <c r="Y79" i="24" s="1"/>
  <c r="AA79" i="24" s="1"/>
  <c r="X13" i="24"/>
  <c r="V13" i="24"/>
  <c r="X29" i="24"/>
  <c r="V29" i="24"/>
  <c r="V17" i="24"/>
  <c r="X17" i="24"/>
  <c r="V33" i="24"/>
  <c r="X33" i="24"/>
  <c r="X31" i="24"/>
  <c r="V31" i="24"/>
  <c r="X37" i="24"/>
  <c r="V37" i="24"/>
  <c r="N113" i="11" s="1"/>
  <c r="V41" i="24"/>
  <c r="X41" i="24"/>
  <c r="X103" i="24"/>
  <c r="Z103" i="24" s="1"/>
  <c r="V103" i="24"/>
  <c r="Y103" i="24" s="1"/>
  <c r="AA103" i="24" s="1"/>
  <c r="X23" i="24"/>
  <c r="V23" i="24"/>
  <c r="X39" i="24"/>
  <c r="V39" i="24"/>
  <c r="X45" i="24"/>
  <c r="Z45" i="24" s="1"/>
  <c r="V45" i="24"/>
  <c r="Y45" i="24" s="1"/>
  <c r="AA45" i="24" s="1"/>
  <c r="V49" i="24"/>
  <c r="Y49" i="24" s="1"/>
  <c r="AA49" i="24" s="1"/>
  <c r="X49" i="24"/>
  <c r="Z49" i="24" s="1"/>
  <c r="X51" i="24"/>
  <c r="Z51" i="24" s="1"/>
  <c r="X91" i="24"/>
  <c r="Z91" i="24" s="1"/>
  <c r="V97" i="24"/>
  <c r="Y97" i="24" s="1"/>
  <c r="AA97" i="24" s="1"/>
  <c r="X97" i="24"/>
  <c r="Z97" i="24" s="1"/>
  <c r="X47" i="24"/>
  <c r="Z47" i="24" s="1"/>
  <c r="V47" i="24"/>
  <c r="Y47" i="24" s="1"/>
  <c r="AA47" i="24" s="1"/>
  <c r="X53" i="24"/>
  <c r="Z53" i="24" s="1"/>
  <c r="V53" i="24"/>
  <c r="Y53" i="24" s="1"/>
  <c r="AA53" i="24" s="1"/>
  <c r="V57" i="24"/>
  <c r="Y57" i="24" s="1"/>
  <c r="AA57" i="24" s="1"/>
  <c r="X57" i="24"/>
  <c r="Z57" i="24" s="1"/>
  <c r="X95" i="24"/>
  <c r="Z95" i="24" s="1"/>
  <c r="V95" i="24"/>
  <c r="Y95" i="24" s="1"/>
  <c r="AA95" i="24" s="1"/>
  <c r="X55" i="24"/>
  <c r="Z55" i="24" s="1"/>
  <c r="V55" i="24"/>
  <c r="Y55" i="24" s="1"/>
  <c r="AA55" i="24" s="1"/>
  <c r="X61" i="24"/>
  <c r="Z61" i="24" s="1"/>
  <c r="V61" i="24"/>
  <c r="Y61" i="24" s="1"/>
  <c r="AA61" i="24" s="1"/>
  <c r="V65" i="24"/>
  <c r="Y65" i="24" s="1"/>
  <c r="AA65" i="24" s="1"/>
  <c r="X65" i="24"/>
  <c r="Z65" i="24" s="1"/>
  <c r="X67" i="24"/>
  <c r="Z67" i="24" s="1"/>
  <c r="X83" i="24"/>
  <c r="Z83" i="24" s="1"/>
  <c r="V89" i="24"/>
  <c r="Y89" i="24" s="1"/>
  <c r="AA89" i="24" s="1"/>
  <c r="X89" i="24"/>
  <c r="Z89" i="24" s="1"/>
  <c r="Y113" i="24"/>
  <c r="AA113" i="24" s="1"/>
  <c r="X69" i="24"/>
  <c r="Z69" i="24" s="1"/>
  <c r="V69" i="24"/>
  <c r="Y69" i="24" s="1"/>
  <c r="AA69" i="24" s="1"/>
  <c r="V73" i="24"/>
  <c r="Y73" i="24" s="1"/>
  <c r="AA73" i="24" s="1"/>
  <c r="X73" i="24"/>
  <c r="Z73" i="24" s="1"/>
  <c r="X87" i="24"/>
  <c r="Z87" i="24" s="1"/>
  <c r="V87" i="24"/>
  <c r="Y87" i="24" s="1"/>
  <c r="AA87" i="24" s="1"/>
  <c r="X105" i="24"/>
  <c r="Z105" i="24" s="1"/>
  <c r="X113" i="24"/>
  <c r="Z113" i="24" s="1"/>
  <c r="V119" i="24"/>
  <c r="Y119" i="24" s="1"/>
  <c r="AA119" i="24" s="1"/>
  <c r="X121" i="24"/>
  <c r="Z121" i="24" s="1"/>
  <c r="V127" i="24"/>
  <c r="Y127" i="24" s="1"/>
  <c r="AA127" i="24" s="1"/>
  <c r="X129" i="24"/>
  <c r="Z129" i="24" s="1"/>
  <c r="V85" i="24"/>
  <c r="Y85" i="24" s="1"/>
  <c r="AA85" i="24" s="1"/>
  <c r="V93" i="24"/>
  <c r="Y93" i="24" s="1"/>
  <c r="AA93" i="24" s="1"/>
  <c r="V101" i="24"/>
  <c r="Y101" i="24" s="1"/>
  <c r="AA101" i="24" s="1"/>
  <c r="V109" i="24"/>
  <c r="Y109" i="24" s="1"/>
  <c r="AA109" i="24" s="1"/>
  <c r="V117" i="24"/>
  <c r="Y117" i="24" s="1"/>
  <c r="AA117" i="24" s="1"/>
  <c r="V125" i="24"/>
  <c r="Y125" i="24" s="1"/>
  <c r="AA125" i="24" s="1"/>
  <c r="V133" i="24"/>
  <c r="Y133" i="24" s="1"/>
  <c r="AA133" i="24" s="1"/>
  <c r="V11" i="24"/>
  <c r="V19" i="24"/>
  <c r="V27" i="24"/>
  <c r="V35" i="24"/>
  <c r="N111" i="11" s="1"/>
  <c r="V43" i="24"/>
  <c r="Y43" i="24" s="1"/>
  <c r="AA43" i="24" s="1"/>
  <c r="V51" i="24"/>
  <c r="Y51" i="24" s="1"/>
  <c r="AA51" i="24" s="1"/>
  <c r="V59" i="24"/>
  <c r="Y59" i="24" s="1"/>
  <c r="AA59" i="24" s="1"/>
  <c r="V67" i="24"/>
  <c r="Y67" i="24" s="1"/>
  <c r="AA67" i="24" s="1"/>
  <c r="V75" i="24"/>
  <c r="Y75" i="24" s="1"/>
  <c r="AA75" i="24" s="1"/>
  <c r="V83" i="24"/>
  <c r="Y83" i="24" s="1"/>
  <c r="AA83" i="24" s="1"/>
  <c r="V91" i="24"/>
  <c r="Y91" i="24" s="1"/>
  <c r="AA91" i="24" s="1"/>
  <c r="V99" i="24"/>
  <c r="Y99" i="24" s="1"/>
  <c r="AA99" i="24" s="1"/>
  <c r="V107" i="24"/>
  <c r="Y107" i="24" s="1"/>
  <c r="AA107" i="24" s="1"/>
  <c r="V115" i="24"/>
  <c r="Y115" i="24" s="1"/>
  <c r="AA115" i="24" s="1"/>
  <c r="V123" i="24"/>
  <c r="Y123" i="24" s="1"/>
  <c r="AA123" i="24" s="1"/>
  <c r="V131" i="24"/>
  <c r="Y131" i="24" s="1"/>
  <c r="AA131" i="24" s="1"/>
  <c r="Y61" i="19"/>
  <c r="AA61" i="19" s="1"/>
  <c r="Y75" i="19"/>
  <c r="AA75" i="19" s="1"/>
  <c r="X12" i="19"/>
  <c r="Z12" i="19" s="1"/>
  <c r="X20" i="19"/>
  <c r="AD142" i="15" s="1"/>
  <c r="AR142" i="15" s="1"/>
  <c r="X36" i="19"/>
  <c r="X44" i="19"/>
  <c r="Z44" i="19" s="1"/>
  <c r="X52" i="19"/>
  <c r="Z52" i="19" s="1"/>
  <c r="X60" i="19"/>
  <c r="Z60" i="19" s="1"/>
  <c r="X76" i="19"/>
  <c r="Z76" i="19" s="1"/>
  <c r="X84" i="19"/>
  <c r="Z84" i="19" s="1"/>
  <c r="X100" i="19"/>
  <c r="Z100" i="19" s="1"/>
  <c r="X108" i="19"/>
  <c r="Z108" i="19" s="1"/>
  <c r="X116" i="19"/>
  <c r="Z116" i="19" s="1"/>
  <c r="X124" i="19"/>
  <c r="Z124" i="19" s="1"/>
  <c r="X109" i="19"/>
  <c r="Z109" i="19" s="1"/>
  <c r="X125" i="19"/>
  <c r="Z125" i="19" s="1"/>
  <c r="V14" i="19"/>
  <c r="AC97" i="11" s="1"/>
  <c r="V134" i="19"/>
  <c r="Y134" i="19" s="1"/>
  <c r="AA134" i="19" s="1"/>
  <c r="X54" i="19"/>
  <c r="Z54" i="19" s="1"/>
  <c r="X18" i="19"/>
  <c r="X26" i="19"/>
  <c r="X34" i="19"/>
  <c r="X42" i="19"/>
  <c r="X50" i="19"/>
  <c r="Z50" i="19" s="1"/>
  <c r="X58" i="19"/>
  <c r="Z58" i="19" s="1"/>
  <c r="X66" i="19"/>
  <c r="Z66" i="19" s="1"/>
  <c r="X74" i="19"/>
  <c r="Z74" i="19" s="1"/>
  <c r="X82" i="19"/>
  <c r="Z82" i="19" s="1"/>
  <c r="X90" i="19"/>
  <c r="Z90" i="19" s="1"/>
  <c r="X98" i="19"/>
  <c r="Z98" i="19" s="1"/>
  <c r="X106" i="19"/>
  <c r="Z106" i="19" s="1"/>
  <c r="X114" i="19"/>
  <c r="Z114" i="19" s="1"/>
  <c r="X122" i="19"/>
  <c r="Z122" i="19" s="1"/>
  <c r="X130" i="19"/>
  <c r="Z130" i="19" s="1"/>
  <c r="X38" i="19"/>
  <c r="X46" i="19"/>
  <c r="Z46" i="19" s="1"/>
  <c r="X62" i="19"/>
  <c r="Z62" i="19" s="1"/>
  <c r="X86" i="19"/>
  <c r="Z86" i="19" s="1"/>
  <c r="X102" i="19"/>
  <c r="Z102" i="19" s="1"/>
  <c r="X110" i="19"/>
  <c r="Z110" i="19" s="1"/>
  <c r="X126" i="19"/>
  <c r="Z126" i="19" s="1"/>
  <c r="Y101" i="19"/>
  <c r="AA101" i="19" s="1"/>
  <c r="Y77" i="19"/>
  <c r="AA77" i="19" s="1"/>
  <c r="V94" i="19"/>
  <c r="Y94" i="19" s="1"/>
  <c r="AA94" i="19" s="1"/>
  <c r="X27" i="19"/>
  <c r="X51" i="19"/>
  <c r="Z51" i="19" s="1"/>
  <c r="X75" i="19"/>
  <c r="Z75" i="19" s="1"/>
  <c r="X91" i="19"/>
  <c r="Z91" i="19" s="1"/>
  <c r="X115" i="19"/>
  <c r="Z115" i="19" s="1"/>
  <c r="V22" i="19"/>
  <c r="AC136" i="11" s="1"/>
  <c r="Y67" i="19"/>
  <c r="AA67" i="19" s="1"/>
  <c r="Y27" i="19"/>
  <c r="Y99" i="19"/>
  <c r="AA99" i="19" s="1"/>
  <c r="Y115" i="19"/>
  <c r="AA115" i="19" s="1"/>
  <c r="X120" i="19"/>
  <c r="Z120" i="19" s="1"/>
  <c r="X111" i="19"/>
  <c r="Z111" i="19" s="1"/>
  <c r="X119" i="19"/>
  <c r="Z119" i="19" s="1"/>
  <c r="X127" i="19"/>
  <c r="Z127" i="19" s="1"/>
  <c r="V48" i="19"/>
  <c r="Y48" i="19" s="1"/>
  <c r="AA48" i="19" s="1"/>
  <c r="V112" i="19"/>
  <c r="Y112" i="19" s="1"/>
  <c r="AA112" i="19" s="1"/>
  <c r="X56" i="19"/>
  <c r="Z56" i="19" s="1"/>
  <c r="V51" i="19"/>
  <c r="Y51" i="19" s="1"/>
  <c r="AA51" i="19" s="1"/>
  <c r="X24" i="19"/>
  <c r="X88" i="19"/>
  <c r="Z88" i="19" s="1"/>
  <c r="X72" i="19"/>
  <c r="Z72" i="19" s="1"/>
  <c r="X23" i="19"/>
  <c r="X31" i="19"/>
  <c r="C188" i="11" s="1"/>
  <c r="X39" i="19"/>
  <c r="X47" i="19"/>
  <c r="Z47" i="19" s="1"/>
  <c r="X55" i="19"/>
  <c r="Z55" i="19" s="1"/>
  <c r="X63" i="19"/>
  <c r="Z63" i="19" s="1"/>
  <c r="X71" i="19"/>
  <c r="Z71" i="19" s="1"/>
  <c r="X79" i="19"/>
  <c r="Z79" i="19" s="1"/>
  <c r="X87" i="19"/>
  <c r="Z87" i="19" s="1"/>
  <c r="X95" i="19"/>
  <c r="Z95" i="19" s="1"/>
  <c r="X103" i="19"/>
  <c r="Z103" i="19" s="1"/>
  <c r="X15" i="19"/>
  <c r="X11" i="19"/>
  <c r="V89" i="19"/>
  <c r="Y89" i="19" s="1"/>
  <c r="AA89" i="19" s="1"/>
  <c r="V33" i="19"/>
  <c r="AC110" i="11" s="1"/>
  <c r="V113" i="19"/>
  <c r="Y113" i="19" s="1"/>
  <c r="AA113" i="19" s="1"/>
  <c r="V25" i="19"/>
  <c r="V57" i="19"/>
  <c r="Y57" i="19" s="1"/>
  <c r="AA57" i="19" s="1"/>
  <c r="V81" i="19"/>
  <c r="Y81" i="19" s="1"/>
  <c r="AA81" i="19" s="1"/>
  <c r="V121" i="19"/>
  <c r="Y121" i="19" s="1"/>
  <c r="AA121" i="19" s="1"/>
  <c r="V18" i="19"/>
  <c r="AC103" i="11" s="1"/>
  <c r="V26" i="19"/>
  <c r="AC139" i="11" s="1"/>
  <c r="V34" i="19"/>
  <c r="V42" i="19"/>
  <c r="AC131" i="11" s="1"/>
  <c r="V50" i="19"/>
  <c r="Y50" i="19" s="1"/>
  <c r="AA50" i="19" s="1"/>
  <c r="V58" i="19"/>
  <c r="Y58" i="19" s="1"/>
  <c r="AA58" i="19" s="1"/>
  <c r="V66" i="19"/>
  <c r="Y66" i="19" s="1"/>
  <c r="AA66" i="19" s="1"/>
  <c r="V74" i="19"/>
  <c r="Y74" i="19" s="1"/>
  <c r="AA74" i="19" s="1"/>
  <c r="V82" i="19"/>
  <c r="Y82" i="19" s="1"/>
  <c r="AA82" i="19" s="1"/>
  <c r="V90" i="19"/>
  <c r="Y90" i="19" s="1"/>
  <c r="AA90" i="19" s="1"/>
  <c r="V98" i="19"/>
  <c r="Y98" i="19" s="1"/>
  <c r="AA98" i="19" s="1"/>
  <c r="V106" i="19"/>
  <c r="Y106" i="19" s="1"/>
  <c r="AA106" i="19" s="1"/>
  <c r="V114" i="19"/>
  <c r="Y114" i="19" s="1"/>
  <c r="AA114" i="19" s="1"/>
  <c r="V122" i="19"/>
  <c r="Y122" i="19" s="1"/>
  <c r="AA122" i="19" s="1"/>
  <c r="V130" i="19"/>
  <c r="Y130" i="19" s="1"/>
  <c r="AA130" i="19" s="1"/>
  <c r="V17" i="19"/>
  <c r="AD86" i="11" s="1"/>
  <c r="V105" i="19"/>
  <c r="Y105" i="19" s="1"/>
  <c r="AA105" i="19" s="1"/>
  <c r="V49" i="19"/>
  <c r="Y49" i="19" s="1"/>
  <c r="AA49" i="19" s="1"/>
  <c r="V65" i="19"/>
  <c r="Y65" i="19" s="1"/>
  <c r="AA65" i="19" s="1"/>
  <c r="V97" i="19"/>
  <c r="Y97" i="19" s="1"/>
  <c r="AA97" i="19" s="1"/>
  <c r="V129" i="19"/>
  <c r="Y129" i="19" s="1"/>
  <c r="AA129" i="19" s="1"/>
  <c r="X41" i="19"/>
  <c r="X73" i="19"/>
  <c r="Z73" i="19" s="1"/>
  <c r="V11" i="19"/>
  <c r="AA86" i="11" l="1"/>
  <c r="AC141" i="11"/>
  <c r="AC86" i="11"/>
  <c r="F162" i="11"/>
  <c r="H162" i="11" s="1"/>
  <c r="C190" i="11"/>
  <c r="AA141" i="11"/>
  <c r="AC81" i="11"/>
  <c r="AD141" i="11"/>
  <c r="C186" i="11"/>
  <c r="N136" i="11"/>
  <c r="AC96" i="11"/>
  <c r="Y21" i="19"/>
  <c r="L4" i="19"/>
  <c r="AC100" i="11"/>
  <c r="N100" i="11"/>
  <c r="AC117" i="11"/>
  <c r="AC101" i="11"/>
  <c r="AO142" i="15"/>
  <c r="C192" i="11"/>
  <c r="D157" i="14"/>
  <c r="AQ64" i="15"/>
  <c r="AC83" i="11"/>
  <c r="AD150" i="11"/>
  <c r="AA150" i="11"/>
  <c r="D149" i="14"/>
  <c r="AC108" i="11"/>
  <c r="AC150" i="11"/>
  <c r="C187" i="11"/>
  <c r="E202" i="11" s="1" a="1"/>
  <c r="E202" i="11" s="1"/>
  <c r="AD64" i="15"/>
  <c r="AR64" i="15" s="1"/>
  <c r="AD151" i="11"/>
  <c r="AA151" i="11"/>
  <c r="AC98" i="11"/>
  <c r="Y20" i="19"/>
  <c r="AC95" i="11"/>
  <c r="AC102" i="11"/>
  <c r="AC151" i="11"/>
  <c r="N95" i="11"/>
  <c r="O151" i="11"/>
  <c r="L151" i="11"/>
  <c r="N142" i="15"/>
  <c r="N94" i="11"/>
  <c r="N64" i="15"/>
  <c r="N108" i="11"/>
  <c r="N96" i="11"/>
  <c r="O31" i="15"/>
  <c r="E228" i="11"/>
  <c r="F228" i="11" s="1"/>
  <c r="C178" i="11"/>
  <c r="C157" i="14"/>
  <c r="N90" i="11"/>
  <c r="O150" i="11"/>
  <c r="L150" i="11"/>
  <c r="C149" i="14"/>
  <c r="N151" i="11"/>
  <c r="N103" i="11"/>
  <c r="AD90" i="11"/>
  <c r="AA90" i="11"/>
  <c r="AO122" i="15"/>
  <c r="E224" i="11"/>
  <c r="F224" i="11" s="1"/>
  <c r="C175" i="11"/>
  <c r="C179" i="11" s="1"/>
  <c r="O90" i="11"/>
  <c r="L90" i="11"/>
  <c r="AO70" i="15"/>
  <c r="E218" i="11"/>
  <c r="F218" i="11" s="1"/>
  <c r="C172" i="11"/>
  <c r="E220" i="11"/>
  <c r="F220" i="11" s="1"/>
  <c r="C173" i="11"/>
  <c r="D202" i="11" s="1" a="1"/>
  <c r="D202" i="11" s="1"/>
  <c r="E222" i="11"/>
  <c r="F222" i="11" s="1"/>
  <c r="C174" i="11"/>
  <c r="E226" i="11"/>
  <c r="F226" i="11" s="1"/>
  <c r="C176" i="11"/>
  <c r="O93" i="15"/>
  <c r="AQ93" i="15" s="1"/>
  <c r="AO24" i="15"/>
  <c r="AO30" i="15"/>
  <c r="AO28" i="15"/>
  <c r="AO121" i="15"/>
  <c r="AO66" i="15"/>
  <c r="Z15" i="19"/>
  <c r="AD67" i="15"/>
  <c r="AD113" i="11"/>
  <c r="V162" i="11"/>
  <c r="X162" i="11" s="1"/>
  <c r="AA113" i="11"/>
  <c r="Z39" i="19"/>
  <c r="AD28" i="15"/>
  <c r="Z35" i="19"/>
  <c r="AD24" i="15"/>
  <c r="AO124" i="15"/>
  <c r="Y12" i="19"/>
  <c r="AA12" i="19" s="1"/>
  <c r="AD95" i="11"/>
  <c r="N158" i="11"/>
  <c r="AA95" i="11"/>
  <c r="Z33" i="19"/>
  <c r="AD23" i="15"/>
  <c r="Y11" i="19"/>
  <c r="N157" i="11"/>
  <c r="P157" i="11" s="1"/>
  <c r="AD94" i="11"/>
  <c r="AA94" i="11"/>
  <c r="I93" i="14"/>
  <c r="Y24" i="19"/>
  <c r="AD138" i="11"/>
  <c r="AA138" i="11"/>
  <c r="AA96" i="15"/>
  <c r="AA94" i="15"/>
  <c r="Y23" i="19"/>
  <c r="D159" i="14" s="1"/>
  <c r="AD83" i="11"/>
  <c r="F159" i="11"/>
  <c r="H159" i="11" s="1"/>
  <c r="AA83" i="11"/>
  <c r="Z28" i="19"/>
  <c r="AD124" i="15"/>
  <c r="Y25" i="19"/>
  <c r="AD84" i="11"/>
  <c r="F160" i="11"/>
  <c r="H160" i="11" s="1"/>
  <c r="AA84" i="11"/>
  <c r="Z23" i="19"/>
  <c r="AD107" i="15"/>
  <c r="AA27" i="19"/>
  <c r="Z27" i="19"/>
  <c r="AD110" i="15"/>
  <c r="AA13" i="19"/>
  <c r="AA30" i="19"/>
  <c r="AE128" i="15"/>
  <c r="AB128" i="15"/>
  <c r="AO38" i="15"/>
  <c r="AO67" i="15"/>
  <c r="Z17" i="19"/>
  <c r="AD69" i="15"/>
  <c r="Y16" i="19"/>
  <c r="AA16" i="19" s="1"/>
  <c r="N162" i="11"/>
  <c r="AD99" i="11"/>
  <c r="AA99" i="11"/>
  <c r="Y15" i="19"/>
  <c r="AD98" i="11"/>
  <c r="N161" i="11"/>
  <c r="AA98" i="11"/>
  <c r="Y38" i="19"/>
  <c r="AD127" i="11"/>
  <c r="AA127" i="11"/>
  <c r="Y17" i="19"/>
  <c r="AB71" i="15" s="1"/>
  <c r="AB57" i="15" s="1"/>
  <c r="AD100" i="11"/>
  <c r="N163" i="11"/>
  <c r="AA100" i="11"/>
  <c r="Y42" i="19"/>
  <c r="AD131" i="11"/>
  <c r="AA131" i="11"/>
  <c r="Z22" i="19"/>
  <c r="N129" i="14"/>
  <c r="Z37" i="19"/>
  <c r="AD26" i="15"/>
  <c r="AO40" i="15"/>
  <c r="AC84" i="11"/>
  <c r="Z32" i="19"/>
  <c r="N74" i="14"/>
  <c r="N73" i="14"/>
  <c r="Y39" i="19"/>
  <c r="V164" i="11"/>
  <c r="X164" i="11" s="1"/>
  <c r="AD115" i="11"/>
  <c r="AA115" i="11"/>
  <c r="Z38" i="19"/>
  <c r="AD40" i="15"/>
  <c r="Y37" i="19"/>
  <c r="Z19" i="19"/>
  <c r="AD71" i="15"/>
  <c r="AD57" i="15" s="1"/>
  <c r="Y22" i="19"/>
  <c r="AD136" i="11"/>
  <c r="AA136" i="11"/>
  <c r="N121" i="14"/>
  <c r="Z34" i="19"/>
  <c r="AD37" i="15"/>
  <c r="Z14" i="19"/>
  <c r="AE99" i="15" s="1"/>
  <c r="AD66" i="15"/>
  <c r="Z29" i="19"/>
  <c r="AD114" i="15"/>
  <c r="N165" i="11"/>
  <c r="AA102" i="11"/>
  <c r="AD102" i="11"/>
  <c r="Y41" i="19"/>
  <c r="AD117" i="11"/>
  <c r="V166" i="11"/>
  <c r="X166" i="11" s="1"/>
  <c r="AA117" i="11"/>
  <c r="Z25" i="19"/>
  <c r="AD108" i="15"/>
  <c r="Y40" i="19"/>
  <c r="AD129" i="11"/>
  <c r="AA129" i="11"/>
  <c r="Z41" i="19"/>
  <c r="AD30" i="15"/>
  <c r="Y14" i="19"/>
  <c r="N160" i="11"/>
  <c r="AD97" i="11"/>
  <c r="AA97" i="11"/>
  <c r="AA19" i="19"/>
  <c r="AE71" i="15"/>
  <c r="AE57" i="15" s="1"/>
  <c r="Y34" i="19"/>
  <c r="AA124" i="11"/>
  <c r="AD124" i="11"/>
  <c r="AA35" i="19"/>
  <c r="AE24" i="15"/>
  <c r="AB24" i="15"/>
  <c r="Z24" i="19"/>
  <c r="AD121" i="15"/>
  <c r="Z26" i="19"/>
  <c r="AE15" i="15" s="1"/>
  <c r="AD122" i="15"/>
  <c r="Z30" i="19"/>
  <c r="AD128" i="15"/>
  <c r="N166" i="11"/>
  <c r="AD103" i="11"/>
  <c r="AA103" i="11"/>
  <c r="Y29" i="19"/>
  <c r="F166" i="11"/>
  <c r="H166" i="11" s="1"/>
  <c r="AC124" i="11"/>
  <c r="AC113" i="11"/>
  <c r="H157" i="11"/>
  <c r="AD81" i="11"/>
  <c r="AA81" i="11"/>
  <c r="I121" i="14"/>
  <c r="AC129" i="11"/>
  <c r="AA28" i="19"/>
  <c r="AE124" i="15"/>
  <c r="Z31" i="19"/>
  <c r="Z42" i="19"/>
  <c r="AD44" i="15"/>
  <c r="Y33" i="19"/>
  <c r="AD110" i="11"/>
  <c r="V159" i="11"/>
  <c r="X159" i="11" s="1"/>
  <c r="AA110" i="11"/>
  <c r="Y26" i="19"/>
  <c r="AD139" i="11"/>
  <c r="AA139" i="11"/>
  <c r="AA21" i="19"/>
  <c r="I131" i="14"/>
  <c r="Z36" i="19"/>
  <c r="AD38" i="15"/>
  <c r="Z40" i="19"/>
  <c r="AD42" i="15"/>
  <c r="Y32" i="19"/>
  <c r="AD122" i="11"/>
  <c r="AA122" i="11"/>
  <c r="N65" i="14"/>
  <c r="Z21" i="19"/>
  <c r="I129" i="14"/>
  <c r="Y18" i="19"/>
  <c r="AB72" i="15" s="1"/>
  <c r="AD101" i="11"/>
  <c r="N164" i="11"/>
  <c r="AA101" i="11"/>
  <c r="Z11" i="19"/>
  <c r="I101" i="14"/>
  <c r="Z18" i="19"/>
  <c r="AD70" i="15"/>
  <c r="Z20" i="19"/>
  <c r="AD72" i="15"/>
  <c r="Z13" i="19"/>
  <c r="AD65" i="15"/>
  <c r="AO69" i="15"/>
  <c r="Y36" i="19"/>
  <c r="AD125" i="11"/>
  <c r="AA125" i="11"/>
  <c r="AC94" i="11"/>
  <c r="N159" i="11"/>
  <c r="P159" i="11" s="1"/>
  <c r="AD96" i="11"/>
  <c r="AA96" i="11"/>
  <c r="AC138" i="11"/>
  <c r="AA115" i="15"/>
  <c r="AA93" i="15"/>
  <c r="Y31" i="19"/>
  <c r="V157" i="11"/>
  <c r="X157" i="11" s="1"/>
  <c r="AD108" i="11"/>
  <c r="AA108" i="11"/>
  <c r="AD145" i="11"/>
  <c r="AA145" i="11"/>
  <c r="Y33" i="24"/>
  <c r="S159" i="11"/>
  <c r="U159" i="11" s="1"/>
  <c r="O110" i="11"/>
  <c r="L110" i="11"/>
  <c r="N23" i="15"/>
  <c r="Z35" i="24"/>
  <c r="P24" i="15"/>
  <c r="AR24" i="15" s="1"/>
  <c r="Y35" i="24"/>
  <c r="S160" i="11"/>
  <c r="U160" i="11" s="1"/>
  <c r="O111" i="11"/>
  <c r="L111" i="11"/>
  <c r="N24" i="15"/>
  <c r="AP24" i="15" s="1"/>
  <c r="Z41" i="24"/>
  <c r="P30" i="15"/>
  <c r="Z17" i="24"/>
  <c r="P69" i="15"/>
  <c r="AR69" i="15" s="1"/>
  <c r="Z27" i="24"/>
  <c r="P110" i="15"/>
  <c r="Y30" i="24"/>
  <c r="O145" i="11"/>
  <c r="L145" i="11"/>
  <c r="N128" i="15"/>
  <c r="AP128" i="15" s="1"/>
  <c r="Y36" i="24"/>
  <c r="O125" i="11"/>
  <c r="L125" i="11"/>
  <c r="N38" i="15"/>
  <c r="Z36" i="24"/>
  <c r="P38" i="15"/>
  <c r="Z28" i="24"/>
  <c r="P124" i="15"/>
  <c r="AR124" i="15" s="1"/>
  <c r="Z20" i="24"/>
  <c r="P72" i="15"/>
  <c r="Z38" i="24"/>
  <c r="P40" i="15"/>
  <c r="AR40" i="15" s="1"/>
  <c r="Z30" i="24"/>
  <c r="P128" i="15"/>
  <c r="Y27" i="24"/>
  <c r="C162" i="11"/>
  <c r="E162" i="11" s="1"/>
  <c r="O86" i="11"/>
  <c r="L86" i="11"/>
  <c r="N110" i="15"/>
  <c r="Y41" i="24"/>
  <c r="S166" i="11"/>
  <c r="U166" i="11" s="1"/>
  <c r="O117" i="11"/>
  <c r="L117" i="11"/>
  <c r="N30" i="15"/>
  <c r="Y19" i="24"/>
  <c r="K165" i="11"/>
  <c r="M165" i="11" s="1"/>
  <c r="O102" i="11"/>
  <c r="L102" i="11"/>
  <c r="Y39" i="24"/>
  <c r="S164" i="11"/>
  <c r="U164" i="11" s="1"/>
  <c r="O115" i="11"/>
  <c r="L115" i="11"/>
  <c r="N28" i="15"/>
  <c r="Y37" i="24"/>
  <c r="S162" i="11"/>
  <c r="U162" i="11" s="1"/>
  <c r="O113" i="11"/>
  <c r="L113" i="11"/>
  <c r="N26" i="15"/>
  <c r="Y29" i="24"/>
  <c r="O136" i="11"/>
  <c r="L136" i="11"/>
  <c r="M121" i="14"/>
  <c r="Y25" i="24"/>
  <c r="C160" i="11"/>
  <c r="E160" i="11" s="1"/>
  <c r="O84" i="11"/>
  <c r="L84" i="11"/>
  <c r="N108" i="15"/>
  <c r="Y34" i="24"/>
  <c r="O124" i="11"/>
  <c r="L124" i="11"/>
  <c r="N37" i="15"/>
  <c r="Y20" i="24"/>
  <c r="K166" i="11"/>
  <c r="M166" i="11" s="1"/>
  <c r="O103" i="11"/>
  <c r="L103" i="11"/>
  <c r="N72" i="15"/>
  <c r="Z11" i="24"/>
  <c r="H101" i="14"/>
  <c r="AO107" i="15"/>
  <c r="M93" i="15"/>
  <c r="AO93" i="15" s="1"/>
  <c r="Z18" i="24"/>
  <c r="P70" i="15"/>
  <c r="AO108" i="15"/>
  <c r="M94" i="15"/>
  <c r="Z37" i="24"/>
  <c r="P26" i="15"/>
  <c r="N110" i="11"/>
  <c r="N124" i="11"/>
  <c r="Y11" i="24"/>
  <c r="Q64" i="15" s="1"/>
  <c r="K157" i="11"/>
  <c r="M157" i="11" s="1"/>
  <c r="O94" i="11"/>
  <c r="L94" i="11"/>
  <c r="H93" i="14"/>
  <c r="Z39" i="24"/>
  <c r="P28" i="15"/>
  <c r="AR28" i="15" s="1"/>
  <c r="Z29" i="24"/>
  <c r="M129" i="14"/>
  <c r="Y21" i="24"/>
  <c r="E157" i="11"/>
  <c r="O81" i="11"/>
  <c r="L81" i="11"/>
  <c r="H121" i="14"/>
  <c r="Y26" i="24"/>
  <c r="O139" i="11"/>
  <c r="L139" i="11"/>
  <c r="N122" i="15"/>
  <c r="Y32" i="24"/>
  <c r="O122" i="11"/>
  <c r="L122" i="11"/>
  <c r="M65" i="14"/>
  <c r="Y14" i="24"/>
  <c r="K160" i="11"/>
  <c r="M160" i="11" s="1"/>
  <c r="P160" i="11" s="1"/>
  <c r="O97" i="11"/>
  <c r="L97" i="11"/>
  <c r="N66" i="15"/>
  <c r="Y23" i="24"/>
  <c r="C159" i="11"/>
  <c r="E159" i="11" s="1"/>
  <c r="O83" i="11"/>
  <c r="L83" i="11"/>
  <c r="N107" i="15"/>
  <c r="Y31" i="24"/>
  <c r="S157" i="11"/>
  <c r="U157" i="11" s="1"/>
  <c r="O108" i="11"/>
  <c r="L108" i="11"/>
  <c r="H65" i="14"/>
  <c r="Y13" i="24"/>
  <c r="K159" i="11"/>
  <c r="M159" i="11" s="1"/>
  <c r="O96" i="11"/>
  <c r="L96" i="11"/>
  <c r="N65" i="15"/>
  <c r="Z21" i="24"/>
  <c r="H129" i="14"/>
  <c r="Y16" i="24"/>
  <c r="AA16" i="24" s="1"/>
  <c r="K162" i="11"/>
  <c r="M162" i="11" s="1"/>
  <c r="O99" i="11"/>
  <c r="L99" i="11"/>
  <c r="AO110" i="15"/>
  <c r="M96" i="15"/>
  <c r="AO96" i="15" s="1"/>
  <c r="N81" i="11"/>
  <c r="N83" i="11"/>
  <c r="Z40" i="24"/>
  <c r="P42" i="15"/>
  <c r="AR42" i="15" s="1"/>
  <c r="Z32" i="24"/>
  <c r="M74" i="14"/>
  <c r="M73" i="14"/>
  <c r="Y24" i="24"/>
  <c r="O138" i="11"/>
  <c r="L138" i="11"/>
  <c r="N121" i="15"/>
  <c r="Z42" i="24"/>
  <c r="P44" i="15"/>
  <c r="AR44" i="15" s="1"/>
  <c r="Z34" i="24"/>
  <c r="P37" i="15"/>
  <c r="AR37" i="15" s="1"/>
  <c r="Z26" i="24"/>
  <c r="P122" i="15"/>
  <c r="N115" i="11"/>
  <c r="Y18" i="24"/>
  <c r="K164" i="11"/>
  <c r="M164" i="11" s="1"/>
  <c r="O101" i="11"/>
  <c r="L101" i="11"/>
  <c r="N70" i="15"/>
  <c r="Y42" i="24"/>
  <c r="O131" i="11"/>
  <c r="L131" i="11"/>
  <c r="N44" i="15"/>
  <c r="Z25" i="24"/>
  <c r="P108" i="15"/>
  <c r="Z24" i="24"/>
  <c r="P121" i="15"/>
  <c r="Y40" i="24"/>
  <c r="O129" i="11"/>
  <c r="L129" i="11"/>
  <c r="N42" i="15"/>
  <c r="Z22" i="24"/>
  <c r="P114" i="15"/>
  <c r="Z23" i="24"/>
  <c r="P107" i="15"/>
  <c r="Y15" i="24"/>
  <c r="K161" i="11"/>
  <c r="M161" i="11" s="1"/>
  <c r="O98" i="11"/>
  <c r="L98" i="11"/>
  <c r="N67" i="15"/>
  <c r="N117" i="11"/>
  <c r="AO114" i="15"/>
  <c r="M100" i="15"/>
  <c r="AO100" i="15" s="1"/>
  <c r="N97" i="11"/>
  <c r="Y17" i="24"/>
  <c r="K163" i="11"/>
  <c r="M163" i="11" s="1"/>
  <c r="P163" i="11" s="1"/>
  <c r="O100" i="11"/>
  <c r="L100" i="11"/>
  <c r="N69" i="15"/>
  <c r="M31" i="15"/>
  <c r="AO23" i="15"/>
  <c r="Z31" i="24"/>
  <c r="H73" i="14"/>
  <c r="Z13" i="24"/>
  <c r="P65" i="15"/>
  <c r="Y38" i="24"/>
  <c r="O127" i="11"/>
  <c r="L127" i="11"/>
  <c r="N40" i="15"/>
  <c r="Z33" i="24"/>
  <c r="P23" i="15"/>
  <c r="Z15" i="24"/>
  <c r="P67" i="15"/>
  <c r="Y28" i="24"/>
  <c r="O141" i="11"/>
  <c r="L141" i="11"/>
  <c r="N124" i="15"/>
  <c r="N86" i="11"/>
  <c r="Y12" i="24"/>
  <c r="AA12" i="24" s="1"/>
  <c r="K158" i="11"/>
  <c r="M158" i="11" s="1"/>
  <c r="O95" i="11"/>
  <c r="L95" i="11"/>
  <c r="Y22" i="24"/>
  <c r="C166" i="11"/>
  <c r="E166" i="11" s="1"/>
  <c r="N114" i="15"/>
  <c r="Z14" i="24"/>
  <c r="P66" i="15"/>
  <c r="AR66" i="15" s="1"/>
  <c r="N102" i="11"/>
  <c r="AE98" i="15"/>
  <c r="AE97" i="15"/>
  <c r="D16" i="2"/>
  <c r="AE110" i="15" l="1"/>
  <c r="AE96" i="15" s="1"/>
  <c r="AB110" i="15"/>
  <c r="AB124" i="15"/>
  <c r="P158" i="11"/>
  <c r="AR121" i="15"/>
  <c r="AE72" i="15"/>
  <c r="H11" i="11"/>
  <c r="N11" i="11"/>
  <c r="AB142" i="15"/>
  <c r="AP142" i="15" s="1"/>
  <c r="AE142" i="15"/>
  <c r="AA20" i="19"/>
  <c r="AE64" i="15"/>
  <c r="AS64" i="15" s="1"/>
  <c r="AB64" i="15"/>
  <c r="AP64" i="15" s="1"/>
  <c r="AB65" i="15"/>
  <c r="AP65" i="15"/>
  <c r="AE65" i="15"/>
  <c r="C159" i="14"/>
  <c r="AA19" i="24"/>
  <c r="Q142" i="15"/>
  <c r="H19" i="11"/>
  <c r="E19" i="11"/>
  <c r="AR72" i="15"/>
  <c r="L11" i="11"/>
  <c r="K11" i="11"/>
  <c r="F19" i="11"/>
  <c r="J11" i="11"/>
  <c r="C194" i="11"/>
  <c r="D7" i="11"/>
  <c r="I11" i="11"/>
  <c r="M11" i="11"/>
  <c r="AP72" i="15"/>
  <c r="AR30" i="15"/>
  <c r="AR70" i="15"/>
  <c r="F11" i="11"/>
  <c r="C11" i="11"/>
  <c r="G11" i="11"/>
  <c r="E11" i="11"/>
  <c r="D11" i="11"/>
  <c r="P165" i="11"/>
  <c r="P161" i="11"/>
  <c r="C19" i="11"/>
  <c r="D19" i="11"/>
  <c r="P162" i="11"/>
  <c r="P166" i="11"/>
  <c r="AR67" i="15"/>
  <c r="AR128" i="15"/>
  <c r="AR65" i="15"/>
  <c r="AR38" i="15"/>
  <c r="AO94" i="15"/>
  <c r="AA22" i="19"/>
  <c r="N131" i="14"/>
  <c r="AB96" i="15"/>
  <c r="AR26" i="15"/>
  <c r="AA31" i="19"/>
  <c r="AA33" i="19"/>
  <c r="AE23" i="15"/>
  <c r="AB23" i="15"/>
  <c r="AA34" i="19"/>
  <c r="AE37" i="15"/>
  <c r="AB37" i="15"/>
  <c r="AP37" i="15" s="1"/>
  <c r="AA39" i="19"/>
  <c r="AE28" i="15"/>
  <c r="AB28" i="15"/>
  <c r="AP28" i="15" s="1"/>
  <c r="AA42" i="19"/>
  <c r="AE44" i="15"/>
  <c r="AB44" i="15"/>
  <c r="AA18" i="19"/>
  <c r="AE70" i="15"/>
  <c r="AB70" i="15"/>
  <c r="AP70" i="15" s="1"/>
  <c r="AA32" i="19"/>
  <c r="N76" i="14"/>
  <c r="N75" i="14"/>
  <c r="AA29" i="19"/>
  <c r="AB114" i="15"/>
  <c r="AB100" i="15" s="1"/>
  <c r="AE114" i="15"/>
  <c r="AE100" i="15" s="1"/>
  <c r="AD93" i="15"/>
  <c r="AD115" i="15"/>
  <c r="AA24" i="19"/>
  <c r="AE121" i="15"/>
  <c r="AB121" i="15"/>
  <c r="AP121" i="15" s="1"/>
  <c r="AA14" i="19"/>
  <c r="AE66" i="15"/>
  <c r="AB66" i="15"/>
  <c r="AP66" i="15" s="1"/>
  <c r="AP124" i="15"/>
  <c r="P164" i="11"/>
  <c r="AA36" i="19"/>
  <c r="AB38" i="15"/>
  <c r="AP38" i="15" s="1"/>
  <c r="AE38" i="15"/>
  <c r="AA41" i="19"/>
  <c r="AE30" i="15"/>
  <c r="AB30" i="15"/>
  <c r="AP30" i="15" s="1"/>
  <c r="AA37" i="19"/>
  <c r="AB26" i="15"/>
  <c r="AP26" i="15" s="1"/>
  <c r="AE26" i="15"/>
  <c r="AA15" i="19"/>
  <c r="AE67" i="15"/>
  <c r="AB67" i="15"/>
  <c r="AP67" i="15" s="1"/>
  <c r="AA17" i="19"/>
  <c r="AB69" i="15"/>
  <c r="AP69" i="15" s="1"/>
  <c r="AE69" i="15"/>
  <c r="AA26" i="19"/>
  <c r="AE122" i="15"/>
  <c r="AB122" i="15"/>
  <c r="AP122" i="15" s="1"/>
  <c r="AA40" i="19"/>
  <c r="AE42" i="15"/>
  <c r="AB42" i="15"/>
  <c r="AP42" i="15" s="1"/>
  <c r="AD96" i="15"/>
  <c r="AA23" i="19"/>
  <c r="AB107" i="15"/>
  <c r="AP107" i="15" s="1"/>
  <c r="AE107" i="15"/>
  <c r="AP44" i="15"/>
  <c r="AR122" i="15"/>
  <c r="AD94" i="15"/>
  <c r="AD100" i="15"/>
  <c r="AA38" i="19"/>
  <c r="AB40" i="15"/>
  <c r="AP40" i="15" s="1"/>
  <c r="AE40" i="15"/>
  <c r="AA25" i="19"/>
  <c r="AE108" i="15"/>
  <c r="AB108" i="15"/>
  <c r="AP108" i="15" s="1"/>
  <c r="AA11" i="19"/>
  <c r="I103" i="14"/>
  <c r="AA40" i="24"/>
  <c r="Q42" i="15"/>
  <c r="AA35" i="24"/>
  <c r="Q24" i="15"/>
  <c r="AS24" i="15" s="1"/>
  <c r="AR107" i="15"/>
  <c r="P93" i="15"/>
  <c r="AR93" i="15" s="1"/>
  <c r="N93" i="15"/>
  <c r="AA11" i="24"/>
  <c r="H103" i="14"/>
  <c r="AA36" i="24"/>
  <c r="Q38" i="15"/>
  <c r="AA28" i="24"/>
  <c r="Q124" i="15"/>
  <c r="AS124" i="15" s="1"/>
  <c r="AA38" i="24"/>
  <c r="Q40" i="15"/>
  <c r="P31" i="15"/>
  <c r="AR23" i="15"/>
  <c r="AA42" i="24"/>
  <c r="Q44" i="15"/>
  <c r="AS44" i="15" s="1"/>
  <c r="AA24" i="24"/>
  <c r="Q121" i="15"/>
  <c r="AS121" i="15" s="1"/>
  <c r="AA14" i="24"/>
  <c r="Q66" i="15"/>
  <c r="AA26" i="24"/>
  <c r="Q122" i="15"/>
  <c r="AA34" i="24"/>
  <c r="Q37" i="15"/>
  <c r="AS37" i="15" s="1"/>
  <c r="AA37" i="24"/>
  <c r="Q26" i="15"/>
  <c r="N100" i="15"/>
  <c r="AR114" i="15"/>
  <c r="P100" i="15"/>
  <c r="AA13" i="24"/>
  <c r="Q65" i="15"/>
  <c r="AS65" i="15" s="1"/>
  <c r="N94" i="15"/>
  <c r="AA29" i="24"/>
  <c r="M131" i="14"/>
  <c r="AA27" i="24"/>
  <c r="Q110" i="15"/>
  <c r="AP23" i="15"/>
  <c r="N31" i="15"/>
  <c r="AA31" i="24"/>
  <c r="H75" i="14"/>
  <c r="AA15" i="24"/>
  <c r="Q67" i="15"/>
  <c r="AA22" i="24"/>
  <c r="Q114" i="15"/>
  <c r="AA17" i="24"/>
  <c r="Q69" i="15"/>
  <c r="AR108" i="15"/>
  <c r="P94" i="15"/>
  <c r="AA23" i="24"/>
  <c r="Q107" i="15"/>
  <c r="AA39" i="24"/>
  <c r="Q28" i="15"/>
  <c r="AA30" i="24"/>
  <c r="Q128" i="15"/>
  <c r="AS128" i="15" s="1"/>
  <c r="AA32" i="24"/>
  <c r="M76" i="14"/>
  <c r="M75" i="14"/>
  <c r="AA20" i="24"/>
  <c r="Q72" i="15"/>
  <c r="AS72" i="15" s="1"/>
  <c r="AA41" i="24"/>
  <c r="Q30" i="15"/>
  <c r="AR110" i="15"/>
  <c r="P96" i="15"/>
  <c r="AA18" i="24"/>
  <c r="Q70" i="15"/>
  <c r="AA21" i="24"/>
  <c r="H131" i="14"/>
  <c r="AA25" i="24"/>
  <c r="Q108" i="15"/>
  <c r="AP110" i="15"/>
  <c r="N96" i="15"/>
  <c r="AP96" i="15" s="1"/>
  <c r="AA33" i="24"/>
  <c r="Q23" i="15"/>
  <c r="AE93" i="15" l="1"/>
  <c r="AR96" i="15"/>
  <c r="I4" i="24"/>
  <c r="I4" i="19"/>
  <c r="AS142" i="15"/>
  <c r="AS70" i="15"/>
  <c r="D4" i="13"/>
  <c r="G19" i="11"/>
  <c r="D4" i="26" s="1"/>
  <c r="AS28" i="15"/>
  <c r="AS67" i="15"/>
  <c r="C180" i="11"/>
  <c r="C7" i="11"/>
  <c r="AS66" i="15"/>
  <c r="AP100" i="15"/>
  <c r="AS40" i="15"/>
  <c r="AS30" i="15"/>
  <c r="AB94" i="15"/>
  <c r="AP94" i="15" s="1"/>
  <c r="AE94" i="15"/>
  <c r="AP114" i="15"/>
  <c r="AR100" i="15"/>
  <c r="AS122" i="15"/>
  <c r="AE115" i="15"/>
  <c r="AS38" i="15"/>
  <c r="AR94" i="15"/>
  <c r="AS42" i="15"/>
  <c r="AS69" i="15"/>
  <c r="AS26" i="15"/>
  <c r="AB93" i="15"/>
  <c r="AP93" i="15" s="1"/>
  <c r="AB115" i="15"/>
  <c r="AS108" i="15"/>
  <c r="Q94" i="15"/>
  <c r="AS107" i="15"/>
  <c r="Q93" i="15"/>
  <c r="AS93" i="15" s="1"/>
  <c r="AS110" i="15"/>
  <c r="Q96" i="15"/>
  <c r="AS96" i="15" s="1"/>
  <c r="AS23" i="15"/>
  <c r="Q31" i="15"/>
  <c r="Q100" i="15"/>
  <c r="AS100" i="15" s="1"/>
  <c r="AS114" i="15"/>
  <c r="D18" i="2"/>
  <c r="D17" i="2"/>
  <c r="D15" i="2"/>
  <c r="D14" i="2"/>
  <c r="D13" i="2"/>
  <c r="D12" i="2"/>
  <c r="D11" i="2"/>
  <c r="D11" i="17"/>
  <c r="D12" i="17"/>
  <c r="D13" i="17"/>
  <c r="D14" i="17"/>
  <c r="D15" i="17"/>
  <c r="D16" i="17"/>
  <c r="D17" i="17"/>
  <c r="D18" i="17"/>
  <c r="D31" i="14" l="1"/>
  <c r="D46" i="14"/>
  <c r="D160" i="14"/>
  <c r="C31" i="14"/>
  <c r="C46" i="14"/>
  <c r="C160" i="14"/>
  <c r="D158" i="14"/>
  <c r="I74" i="14"/>
  <c r="I76" i="14"/>
  <c r="N130" i="14"/>
  <c r="N132" i="14"/>
  <c r="I130" i="14"/>
  <c r="D44" i="14"/>
  <c r="I132" i="14"/>
  <c r="I102" i="14"/>
  <c r="I104" i="14"/>
  <c r="C158" i="14"/>
  <c r="H74" i="14"/>
  <c r="H76" i="14"/>
  <c r="M130" i="14"/>
  <c r="M132" i="14"/>
  <c r="H130" i="14"/>
  <c r="H132" i="14"/>
  <c r="H102" i="14"/>
  <c r="H104" i="14"/>
  <c r="AS94" i="15"/>
  <c r="D45" i="14"/>
  <c r="D30" i="14"/>
  <c r="D24" i="14"/>
  <c r="D39" i="14"/>
  <c r="D38" i="14"/>
  <c r="D23" i="14"/>
  <c r="D26" i="14"/>
  <c r="D25" i="14" s="1"/>
  <c r="D41" i="14"/>
  <c r="D40" i="14" s="1"/>
  <c r="D29" i="14"/>
  <c r="C45" i="14"/>
  <c r="C30" i="14"/>
  <c r="C24" i="14"/>
  <c r="C39" i="14"/>
  <c r="C23" i="14"/>
  <c r="C38" i="14"/>
  <c r="C26" i="14"/>
  <c r="C41" i="14"/>
  <c r="C44" i="14"/>
  <c r="C29" i="14"/>
  <c r="C234" i="11"/>
  <c r="D43" i="14" l="1"/>
  <c r="D28" i="14"/>
  <c r="D22" i="14"/>
  <c r="D37" i="14"/>
  <c r="C255" i="11"/>
  <c r="D255" i="11" s="1"/>
  <c r="C240" i="11"/>
  <c r="D240" i="11" s="1"/>
  <c r="C235" i="11"/>
  <c r="D235" i="11" s="1"/>
  <c r="E265" i="11"/>
  <c r="E263" i="11"/>
  <c r="F263" i="11" s="1"/>
  <c r="E262" i="11"/>
  <c r="F262" i="11" s="1"/>
  <c r="E261" i="11"/>
  <c r="F261" i="11" s="1"/>
  <c r="E260" i="11"/>
  <c r="F260" i="11" s="1"/>
  <c r="E259" i="11"/>
  <c r="E258" i="11"/>
  <c r="E257" i="11"/>
  <c r="F257" i="11" s="1"/>
  <c r="E256" i="11"/>
  <c r="F256" i="11" s="1"/>
  <c r="E255" i="11"/>
  <c r="F255" i="11" s="1"/>
  <c r="E254" i="11"/>
  <c r="F254" i="11" s="1"/>
  <c r="E253" i="11"/>
  <c r="E252" i="11"/>
  <c r="E251" i="11"/>
  <c r="E250" i="11"/>
  <c r="F250" i="11" s="1"/>
  <c r="E249" i="11"/>
  <c r="F249" i="11" s="1"/>
  <c r="E248" i="11"/>
  <c r="F248" i="11" s="1"/>
  <c r="E247" i="11"/>
  <c r="F247" i="11" s="1"/>
  <c r="E246" i="11"/>
  <c r="F246" i="11" s="1"/>
  <c r="E245" i="11"/>
  <c r="F245" i="11" s="1"/>
  <c r="E244" i="11"/>
  <c r="F244" i="11" s="1"/>
  <c r="E243" i="11"/>
  <c r="F243" i="11" s="1"/>
  <c r="E242" i="11"/>
  <c r="F242" i="11" s="1"/>
  <c r="E241" i="11"/>
  <c r="F241" i="11" s="1"/>
  <c r="E240" i="11"/>
  <c r="F240" i="11" s="1"/>
  <c r="E239" i="11"/>
  <c r="F239" i="11" s="1"/>
  <c r="E238" i="11"/>
  <c r="F238" i="11" s="1"/>
  <c r="E237" i="11"/>
  <c r="F237" i="11" s="1"/>
  <c r="E236" i="11"/>
  <c r="F236" i="11" s="1"/>
  <c r="E235" i="11"/>
  <c r="F235" i="11" s="1"/>
  <c r="C265" i="11"/>
  <c r="C263" i="11"/>
  <c r="D263" i="11" s="1"/>
  <c r="C262" i="11"/>
  <c r="D262" i="11" s="1"/>
  <c r="C261" i="11"/>
  <c r="D261" i="11" s="1"/>
  <c r="C260" i="11"/>
  <c r="D260" i="11" s="1"/>
  <c r="C259" i="11"/>
  <c r="C258" i="11"/>
  <c r="D258" i="11" s="1"/>
  <c r="C257" i="11"/>
  <c r="D257" i="11" s="1"/>
  <c r="C256" i="11"/>
  <c r="D256" i="11" s="1"/>
  <c r="C254" i="11"/>
  <c r="D254" i="11" s="1"/>
  <c r="C253" i="11"/>
  <c r="C252" i="11"/>
  <c r="C251" i="11"/>
  <c r="C250" i="11"/>
  <c r="D250" i="11" s="1"/>
  <c r="C249" i="11"/>
  <c r="D249" i="11" s="1"/>
  <c r="C248" i="11"/>
  <c r="D248" i="11" s="1"/>
  <c r="C247" i="11"/>
  <c r="D247" i="11" s="1"/>
  <c r="C246" i="11"/>
  <c r="D246" i="11" s="1"/>
  <c r="C245" i="11"/>
  <c r="D245" i="11" s="1"/>
  <c r="C244" i="11"/>
  <c r="D244" i="11" s="1"/>
  <c r="C243" i="11"/>
  <c r="D243" i="11" s="1"/>
  <c r="C242" i="11"/>
  <c r="D242" i="11" s="1"/>
  <c r="C241" i="11"/>
  <c r="D241" i="11" s="1"/>
  <c r="C239" i="11"/>
  <c r="D239" i="11" s="1"/>
  <c r="C238" i="11"/>
  <c r="D238" i="11" s="1"/>
  <c r="C237" i="11"/>
  <c r="D237" i="11" s="1"/>
  <c r="C236" i="11"/>
  <c r="D236" i="11" s="1"/>
  <c r="D48" i="14" l="1"/>
  <c r="C46" i="11" l="1"/>
  <c r="E46" i="11"/>
  <c r="J60" i="14" l="1"/>
  <c r="I68" i="14"/>
  <c r="I73" i="14"/>
  <c r="J73" i="14" s="1"/>
  <c r="I69" i="14"/>
  <c r="I54" i="14"/>
  <c r="I62" i="14"/>
  <c r="J62" i="14" s="1"/>
  <c r="I70" i="14"/>
  <c r="I55" i="14"/>
  <c r="I63" i="14"/>
  <c r="J63" i="14" s="1"/>
  <c r="I71" i="14"/>
  <c r="I56" i="14"/>
  <c r="J56" i="14" s="1"/>
  <c r="I64" i="14"/>
  <c r="I72" i="14"/>
  <c r="I57" i="14"/>
  <c r="I65" i="14"/>
  <c r="I75" i="14"/>
  <c r="I58" i="14"/>
  <c r="I66" i="14"/>
  <c r="I59" i="14"/>
  <c r="I67" i="14"/>
  <c r="J85" i="14"/>
  <c r="J90" i="14"/>
  <c r="J96" i="14"/>
  <c r="J83" i="14"/>
  <c r="O59" i="14"/>
  <c r="O81" i="14"/>
  <c r="O116" i="14"/>
  <c r="O132" i="14"/>
  <c r="I27" i="14"/>
  <c r="D81" i="14"/>
  <c r="O110" i="14"/>
  <c r="O114" i="14"/>
  <c r="O119" i="14"/>
  <c r="C53" i="14"/>
  <c r="C109" i="14"/>
  <c r="J53" i="14"/>
  <c r="E137" i="14"/>
  <c r="E157" i="14"/>
  <c r="E141" i="14"/>
  <c r="E139" i="14"/>
  <c r="E146" i="14"/>
  <c r="E138" i="14"/>
  <c r="E152" i="14"/>
  <c r="O115" i="14"/>
  <c r="O109" i="14"/>
  <c r="D109" i="14"/>
  <c r="E151" i="14"/>
  <c r="D53" i="14"/>
  <c r="E154" i="14"/>
  <c r="J109" i="14"/>
  <c r="C81" i="14"/>
  <c r="J81" i="14"/>
  <c r="O71" i="14"/>
  <c r="O53" i="14"/>
  <c r="J58" i="14"/>
  <c r="H32" i="14"/>
  <c r="I24" i="14"/>
  <c r="I26" i="14"/>
  <c r="I44" i="14"/>
  <c r="I41" i="14"/>
  <c r="H46" i="14"/>
  <c r="I42" i="14"/>
  <c r="H47" i="14"/>
  <c r="I46" i="14"/>
  <c r="I31" i="14"/>
  <c r="I45" i="14"/>
  <c r="I47" i="14"/>
  <c r="I32" i="14"/>
  <c r="H31" i="14"/>
  <c r="I23" i="14"/>
  <c r="E30" i="14"/>
  <c r="I30" i="14"/>
  <c r="E31" i="14"/>
  <c r="I29" i="14"/>
  <c r="I39" i="14"/>
  <c r="E32" i="14"/>
  <c r="I38" i="14"/>
  <c r="E47" i="14"/>
  <c r="E46" i="14"/>
  <c r="E45" i="14"/>
  <c r="E42" i="14"/>
  <c r="E41" i="14"/>
  <c r="E17" i="14"/>
  <c r="E16" i="14"/>
  <c r="D10" i="14"/>
  <c r="D100" i="14" l="1"/>
  <c r="C125" i="14"/>
  <c r="E53" i="14"/>
  <c r="C73" i="14"/>
  <c r="R16" i="15"/>
  <c r="J123" i="14"/>
  <c r="J125" i="14"/>
  <c r="J82" i="14"/>
  <c r="J61" i="14"/>
  <c r="J76" i="14"/>
  <c r="O130" i="14"/>
  <c r="O126" i="14"/>
  <c r="D99" i="14"/>
  <c r="J88" i="14"/>
  <c r="C55" i="14"/>
  <c r="C123" i="14"/>
  <c r="J104" i="14"/>
  <c r="O76" i="14"/>
  <c r="O104" i="14"/>
  <c r="O127" i="14"/>
  <c r="O112" i="14"/>
  <c r="J102" i="14"/>
  <c r="J68" i="14"/>
  <c r="C127" i="14"/>
  <c r="J98" i="14"/>
  <c r="C110" i="14"/>
  <c r="C126" i="14"/>
  <c r="E153" i="14"/>
  <c r="D85" i="14"/>
  <c r="O122" i="14"/>
  <c r="O111" i="14"/>
  <c r="D94" i="14"/>
  <c r="D96" i="14"/>
  <c r="D90" i="14"/>
  <c r="J64" i="14"/>
  <c r="D92" i="14"/>
  <c r="J54" i="14"/>
  <c r="D87" i="14"/>
  <c r="J70" i="14"/>
  <c r="D86" i="14"/>
  <c r="D82" i="14"/>
  <c r="D131" i="14"/>
  <c r="D98" i="14"/>
  <c r="D83" i="14"/>
  <c r="D91" i="14"/>
  <c r="D88" i="14"/>
  <c r="D89" i="14"/>
  <c r="D97" i="14"/>
  <c r="D122" i="14"/>
  <c r="O124" i="14"/>
  <c r="J115" i="14"/>
  <c r="J99" i="14"/>
  <c r="J124" i="14"/>
  <c r="J72" i="14"/>
  <c r="D103" i="14"/>
  <c r="D93" i="14"/>
  <c r="E149" i="14"/>
  <c r="D33" i="14"/>
  <c r="J101" i="14"/>
  <c r="D101" i="14"/>
  <c r="D84" i="14"/>
  <c r="J103" i="14"/>
  <c r="J84" i="14"/>
  <c r="J93" i="14"/>
  <c r="D112" i="14"/>
  <c r="E144" i="14"/>
  <c r="D102" i="14"/>
  <c r="J116" i="14"/>
  <c r="D128" i="14"/>
  <c r="O117" i="14"/>
  <c r="E147" i="14"/>
  <c r="E142" i="14"/>
  <c r="J59" i="14"/>
  <c r="D55" i="14"/>
  <c r="E155" i="14"/>
  <c r="E150" i="14"/>
  <c r="J67" i="14"/>
  <c r="D104" i="14"/>
  <c r="D118" i="14"/>
  <c r="O118" i="14"/>
  <c r="J94" i="14"/>
  <c r="J100" i="14"/>
  <c r="O128" i="14"/>
  <c r="E140" i="14"/>
  <c r="O121" i="14"/>
  <c r="J91" i="14"/>
  <c r="J86" i="14"/>
  <c r="J92" i="14"/>
  <c r="O120" i="14"/>
  <c r="E148" i="14"/>
  <c r="E145" i="14"/>
  <c r="J71" i="14"/>
  <c r="J89" i="14"/>
  <c r="D114" i="14"/>
  <c r="J87" i="14"/>
  <c r="J97" i="14"/>
  <c r="E156" i="14"/>
  <c r="J120" i="14"/>
  <c r="O129" i="14"/>
  <c r="O63" i="14"/>
  <c r="D69" i="14"/>
  <c r="D68" i="14"/>
  <c r="O75" i="14"/>
  <c r="J128" i="14"/>
  <c r="O55" i="14"/>
  <c r="O67" i="14"/>
  <c r="E143" i="14"/>
  <c r="J118" i="14"/>
  <c r="J113" i="14"/>
  <c r="J66" i="14"/>
  <c r="D64" i="14"/>
  <c r="J74" i="14"/>
  <c r="O125" i="14"/>
  <c r="C122" i="14"/>
  <c r="O113" i="14"/>
  <c r="E159" i="14"/>
  <c r="E160" i="14"/>
  <c r="C119" i="14"/>
  <c r="J110" i="14"/>
  <c r="C111" i="14"/>
  <c r="C104" i="14"/>
  <c r="J127" i="14"/>
  <c r="C112" i="14"/>
  <c r="J122" i="14"/>
  <c r="O131" i="14"/>
  <c r="C113" i="14"/>
  <c r="C114" i="14"/>
  <c r="J55" i="14"/>
  <c r="C61" i="14"/>
  <c r="C64" i="14"/>
  <c r="C58" i="14"/>
  <c r="C72" i="14"/>
  <c r="C66" i="14"/>
  <c r="C54" i="14"/>
  <c r="J126" i="14"/>
  <c r="J95" i="14"/>
  <c r="O66" i="14"/>
  <c r="C70" i="14"/>
  <c r="C57" i="14"/>
  <c r="C75" i="14"/>
  <c r="C71" i="14"/>
  <c r="C65" i="14"/>
  <c r="C60" i="14"/>
  <c r="C117" i="14"/>
  <c r="C63" i="14"/>
  <c r="J117" i="14"/>
  <c r="C118" i="14"/>
  <c r="C59" i="14"/>
  <c r="C69" i="14"/>
  <c r="C67" i="14"/>
  <c r="J75" i="14"/>
  <c r="J65" i="14"/>
  <c r="J114" i="14"/>
  <c r="C116" i="14"/>
  <c r="C68" i="14"/>
  <c r="J57" i="14"/>
  <c r="C124" i="14"/>
  <c r="C76" i="14"/>
  <c r="J69" i="14"/>
  <c r="J119" i="14"/>
  <c r="E158" i="14"/>
  <c r="C115" i="14"/>
  <c r="C120" i="14"/>
  <c r="C56" i="14"/>
  <c r="J111" i="14"/>
  <c r="O123" i="14"/>
  <c r="C128" i="14"/>
  <c r="C62" i="14"/>
  <c r="C74" i="14"/>
  <c r="D95" i="14"/>
  <c r="D123" i="14"/>
  <c r="D129" i="14"/>
  <c r="D72" i="14"/>
  <c r="D125" i="14"/>
  <c r="D73" i="14"/>
  <c r="D121" i="14"/>
  <c r="D74" i="14"/>
  <c r="D126" i="14"/>
  <c r="D117" i="14"/>
  <c r="D57" i="14"/>
  <c r="D124" i="14"/>
  <c r="D113" i="14"/>
  <c r="D66" i="14"/>
  <c r="D71" i="14"/>
  <c r="D130" i="14"/>
  <c r="D116" i="14"/>
  <c r="D76" i="14"/>
  <c r="D63" i="14"/>
  <c r="D111" i="14"/>
  <c r="D65" i="14"/>
  <c r="D60" i="14"/>
  <c r="J112" i="14"/>
  <c r="D75" i="14"/>
  <c r="D115" i="14"/>
  <c r="D70" i="14"/>
  <c r="D67" i="14"/>
  <c r="D58" i="14"/>
  <c r="D56" i="14"/>
  <c r="D62" i="14"/>
  <c r="D61" i="14"/>
  <c r="D59" i="14"/>
  <c r="D120" i="14"/>
  <c r="D110" i="14"/>
  <c r="E109" i="14"/>
  <c r="D132" i="14"/>
  <c r="D127" i="14"/>
  <c r="D119" i="14"/>
  <c r="D54" i="14"/>
  <c r="O94" i="14"/>
  <c r="C99" i="14"/>
  <c r="O99" i="14"/>
  <c r="C84" i="14"/>
  <c r="O84" i="14"/>
  <c r="C103" i="14"/>
  <c r="O103" i="14"/>
  <c r="C102" i="14"/>
  <c r="O102" i="14"/>
  <c r="C100" i="14"/>
  <c r="O100" i="14"/>
  <c r="C91" i="14"/>
  <c r="O91" i="14"/>
  <c r="C90" i="14"/>
  <c r="O90" i="14"/>
  <c r="C95" i="14"/>
  <c r="O95" i="14"/>
  <c r="C96" i="14"/>
  <c r="O96" i="14"/>
  <c r="C87" i="14"/>
  <c r="O87" i="14"/>
  <c r="C86" i="14"/>
  <c r="O86" i="14"/>
  <c r="C89" i="14"/>
  <c r="O89" i="14"/>
  <c r="C98" i="14"/>
  <c r="O98" i="14"/>
  <c r="C92" i="14"/>
  <c r="O92" i="14"/>
  <c r="C83" i="14"/>
  <c r="O83" i="14"/>
  <c r="C93" i="14"/>
  <c r="O93" i="14"/>
  <c r="C82" i="14"/>
  <c r="O82" i="14"/>
  <c r="E81" i="14"/>
  <c r="C88" i="14"/>
  <c r="O88" i="14"/>
  <c r="C97" i="14"/>
  <c r="O97" i="14"/>
  <c r="C85" i="14"/>
  <c r="O85" i="14"/>
  <c r="C101" i="14"/>
  <c r="O101" i="14"/>
  <c r="C94" i="14"/>
  <c r="O69" i="14"/>
  <c r="O60" i="14"/>
  <c r="O56" i="14"/>
  <c r="O74" i="14"/>
  <c r="O70" i="14"/>
  <c r="O64" i="14"/>
  <c r="O68" i="14"/>
  <c r="O54" i="14"/>
  <c r="O62" i="14"/>
  <c r="O72" i="14"/>
  <c r="O58" i="14"/>
  <c r="O73" i="14"/>
  <c r="O65" i="14"/>
  <c r="O61" i="14"/>
  <c r="O57" i="14"/>
  <c r="J32" i="14"/>
  <c r="J31" i="14"/>
  <c r="J47" i="14"/>
  <c r="I40" i="14"/>
  <c r="J46" i="14"/>
  <c r="I25" i="14"/>
  <c r="R8" i="15"/>
  <c r="E97" i="14" l="1"/>
  <c r="E100" i="14"/>
  <c r="E122" i="14"/>
  <c r="E91" i="14"/>
  <c r="E125" i="14"/>
  <c r="E128" i="14"/>
  <c r="E126" i="14"/>
  <c r="E123" i="14"/>
  <c r="E82" i="14"/>
  <c r="E96" i="14"/>
  <c r="E99" i="14"/>
  <c r="E118" i="14"/>
  <c r="E90" i="14"/>
  <c r="E87" i="14"/>
  <c r="E55" i="14"/>
  <c r="Y8" i="15"/>
  <c r="X8" i="15"/>
  <c r="AE8" i="15"/>
  <c r="W8" i="15"/>
  <c r="T8" i="15"/>
  <c r="AD8" i="15"/>
  <c r="V8" i="15"/>
  <c r="AB8" i="15"/>
  <c r="AC8" i="15"/>
  <c r="U8" i="15"/>
  <c r="AA8" i="15"/>
  <c r="S8" i="15"/>
  <c r="Z8" i="15"/>
  <c r="AE16" i="15"/>
  <c r="Z16" i="15"/>
  <c r="W16" i="15"/>
  <c r="AA16" i="15"/>
  <c r="V16" i="15"/>
  <c r="Y16" i="15"/>
  <c r="U16" i="15"/>
  <c r="AC16" i="15"/>
  <c r="S16" i="15"/>
  <c r="T16" i="15"/>
  <c r="X16" i="15"/>
  <c r="AB16" i="15"/>
  <c r="AD16" i="15"/>
  <c r="E89" i="14"/>
  <c r="E85" i="14"/>
  <c r="E127" i="14"/>
  <c r="E110" i="14"/>
  <c r="E119" i="14"/>
  <c r="E86" i="14"/>
  <c r="E94" i="14"/>
  <c r="E92" i="14"/>
  <c r="E84" i="14"/>
  <c r="E114" i="14"/>
  <c r="E95" i="14"/>
  <c r="E68" i="14"/>
  <c r="E93" i="14"/>
  <c r="E98" i="14"/>
  <c r="E83" i="14"/>
  <c r="E88" i="14"/>
  <c r="E101" i="14"/>
  <c r="E103" i="14"/>
  <c r="E112" i="14"/>
  <c r="E64" i="14"/>
  <c r="E104" i="14"/>
  <c r="E102" i="14"/>
  <c r="E69" i="14"/>
  <c r="E71" i="14"/>
  <c r="E60" i="14"/>
  <c r="E111" i="14"/>
  <c r="E124" i="14"/>
  <c r="E70" i="14"/>
  <c r="E120" i="14"/>
  <c r="E63" i="14"/>
  <c r="E61" i="14"/>
  <c r="E76" i="14"/>
  <c r="E56" i="14"/>
  <c r="E65" i="14"/>
  <c r="E117" i="14"/>
  <c r="E54" i="14"/>
  <c r="E75" i="14"/>
  <c r="E58" i="14"/>
  <c r="E57" i="14"/>
  <c r="E72" i="14"/>
  <c r="E59" i="14"/>
  <c r="E66" i="14"/>
  <c r="E113" i="14"/>
  <c r="E115" i="14"/>
  <c r="E62" i="14"/>
  <c r="E116" i="14"/>
  <c r="E73" i="14"/>
  <c r="E67" i="14"/>
  <c r="E74" i="14"/>
  <c r="D16" i="15" l="1"/>
  <c r="D9" i="15"/>
  <c r="D13" i="15"/>
  <c r="D11" i="15"/>
  <c r="D14" i="15"/>
  <c r="D12" i="15"/>
  <c r="D10" i="15"/>
  <c r="R11" i="15"/>
  <c r="R12" i="15"/>
  <c r="R10" i="15"/>
  <c r="R14" i="15"/>
  <c r="R13" i="15"/>
  <c r="R9" i="15"/>
  <c r="D92" i="15"/>
  <c r="F92" i="15" l="1"/>
  <c r="E10" i="15"/>
  <c r="AF10" i="15"/>
  <c r="AF14" i="15"/>
  <c r="AF9" i="15"/>
  <c r="AF12" i="15"/>
  <c r="AF11" i="15"/>
  <c r="AL13" i="15"/>
  <c r="AS13" i="15"/>
  <c r="AK13" i="15"/>
  <c r="AR13" i="15"/>
  <c r="AJ13" i="15"/>
  <c r="AP13" i="15"/>
  <c r="AF13" i="15"/>
  <c r="AG13" i="15"/>
  <c r="AQ13" i="15"/>
  <c r="AI13" i="15"/>
  <c r="AH13" i="15"/>
  <c r="AO13" i="15"/>
  <c r="AN13" i="15"/>
  <c r="AM13" i="15"/>
  <c r="AF16" i="15"/>
  <c r="M92" i="15"/>
  <c r="E92" i="15"/>
  <c r="L92" i="15"/>
  <c r="J92" i="15"/>
  <c r="K92" i="15"/>
  <c r="I92" i="15"/>
  <c r="Q92" i="15"/>
  <c r="P92" i="15"/>
  <c r="O92" i="15"/>
  <c r="H92" i="15"/>
  <c r="G92" i="15"/>
  <c r="N92" i="15"/>
  <c r="O12" i="15"/>
  <c r="G12" i="15"/>
  <c r="K12" i="15"/>
  <c r="N12" i="15"/>
  <c r="F12" i="15"/>
  <c r="J12" i="15"/>
  <c r="M12" i="15"/>
  <c r="E12" i="15"/>
  <c r="L12" i="15"/>
  <c r="Q12" i="15"/>
  <c r="I12" i="15"/>
  <c r="P12" i="15"/>
  <c r="H12" i="15"/>
  <c r="M14" i="15"/>
  <c r="E14" i="15"/>
  <c r="J14" i="15"/>
  <c r="L14" i="15"/>
  <c r="Q14" i="15"/>
  <c r="K14" i="15"/>
  <c r="I14" i="15"/>
  <c r="P14" i="15"/>
  <c r="H14" i="15"/>
  <c r="O14" i="15"/>
  <c r="G14" i="15"/>
  <c r="N14" i="15"/>
  <c r="F14" i="15"/>
  <c r="L11" i="15"/>
  <c r="Q11" i="15"/>
  <c r="G11" i="15"/>
  <c r="K11" i="15"/>
  <c r="J11" i="15"/>
  <c r="I11" i="15"/>
  <c r="P11" i="15"/>
  <c r="H11" i="15"/>
  <c r="O11" i="15"/>
  <c r="N11" i="15"/>
  <c r="F11" i="15"/>
  <c r="M11" i="15"/>
  <c r="E11" i="15"/>
  <c r="J13" i="15"/>
  <c r="N13" i="15"/>
  <c r="Q13" i="15"/>
  <c r="I13" i="15"/>
  <c r="G13" i="15"/>
  <c r="P13" i="15"/>
  <c r="H13" i="15"/>
  <c r="O13" i="15"/>
  <c r="E13" i="15"/>
  <c r="F13" i="15"/>
  <c r="L13" i="15"/>
  <c r="K13" i="15"/>
  <c r="M13" i="15"/>
  <c r="Q10" i="15"/>
  <c r="I10" i="15"/>
  <c r="H10" i="15"/>
  <c r="F10" i="15"/>
  <c r="M10" i="15"/>
  <c r="P10" i="15"/>
  <c r="N10" i="15"/>
  <c r="O10" i="15"/>
  <c r="G10" i="15"/>
  <c r="K10" i="15"/>
  <c r="J10" i="15"/>
  <c r="L10" i="15"/>
  <c r="M9" i="15"/>
  <c r="E9" i="15"/>
  <c r="L9" i="15"/>
  <c r="Q9" i="15"/>
  <c r="K9" i="15"/>
  <c r="J9" i="15"/>
  <c r="I9" i="15"/>
  <c r="P9" i="15"/>
  <c r="O9" i="15"/>
  <c r="G9" i="15"/>
  <c r="F9" i="15"/>
  <c r="H9" i="15"/>
  <c r="N9" i="15"/>
  <c r="J16" i="15"/>
  <c r="AL16" i="15" s="1"/>
  <c r="O16" i="15"/>
  <c r="AQ16" i="15" s="1"/>
  <c r="F16" i="15"/>
  <c r="AH16" i="15" s="1"/>
  <c r="Q16" i="15"/>
  <c r="AS16" i="15" s="1"/>
  <c r="I16" i="15"/>
  <c r="AK16" i="15" s="1"/>
  <c r="G16" i="15"/>
  <c r="AI16" i="15" s="1"/>
  <c r="P16" i="15"/>
  <c r="AR16" i="15" s="1"/>
  <c r="H16" i="15"/>
  <c r="AJ16" i="15" s="1"/>
  <c r="E16" i="15"/>
  <c r="AG16" i="15" s="1"/>
  <c r="N16" i="15"/>
  <c r="AP16" i="15" s="1"/>
  <c r="L16" i="15"/>
  <c r="AN16" i="15" s="1"/>
  <c r="K16" i="15"/>
  <c r="AM16" i="15" s="1"/>
  <c r="M16" i="15"/>
  <c r="AO16" i="15" s="1"/>
  <c r="X11" i="15"/>
  <c r="S11" i="15"/>
  <c r="AE11" i="15"/>
  <c r="W11" i="15"/>
  <c r="AA11" i="15"/>
  <c r="AD11" i="15"/>
  <c r="V11" i="15"/>
  <c r="AC11" i="15"/>
  <c r="U11" i="15"/>
  <c r="AB11" i="15"/>
  <c r="T11" i="15"/>
  <c r="Z11" i="15"/>
  <c r="Y11" i="15"/>
  <c r="Y14" i="15"/>
  <c r="AB14" i="15"/>
  <c r="X14" i="15"/>
  <c r="AE14" i="15"/>
  <c r="W14" i="15"/>
  <c r="AD14" i="15"/>
  <c r="V14" i="15"/>
  <c r="T14" i="15"/>
  <c r="AC14" i="15"/>
  <c r="U14" i="15"/>
  <c r="AA14" i="15"/>
  <c r="S14" i="15"/>
  <c r="Z14" i="15"/>
  <c r="Z9" i="15"/>
  <c r="Y9" i="15"/>
  <c r="X9" i="15"/>
  <c r="AE9" i="15"/>
  <c r="W9" i="15"/>
  <c r="U9" i="15"/>
  <c r="AD9" i="15"/>
  <c r="V9" i="15"/>
  <c r="AB9" i="15"/>
  <c r="T9" i="15"/>
  <c r="AC9" i="15"/>
  <c r="AA9" i="15"/>
  <c r="S9" i="15"/>
  <c r="AC10" i="15"/>
  <c r="U10" i="15"/>
  <c r="AB10" i="15"/>
  <c r="T10" i="15"/>
  <c r="AA10" i="15"/>
  <c r="S10" i="15"/>
  <c r="X10" i="15"/>
  <c r="Z10" i="15"/>
  <c r="Y10" i="15"/>
  <c r="AE10" i="15"/>
  <c r="W10" i="15"/>
  <c r="AD10" i="15"/>
  <c r="V10" i="15"/>
  <c r="AD13" i="15"/>
  <c r="V13" i="15"/>
  <c r="AC13" i="15"/>
  <c r="U13" i="15"/>
  <c r="AB13" i="15"/>
  <c r="T13" i="15"/>
  <c r="AA13" i="15"/>
  <c r="S13" i="15"/>
  <c r="Z13" i="15"/>
  <c r="X13" i="15"/>
  <c r="Y13" i="15"/>
  <c r="AE13" i="15"/>
  <c r="W13" i="15"/>
  <c r="AA12" i="15"/>
  <c r="S12" i="15"/>
  <c r="Z12" i="15"/>
  <c r="Y12" i="15"/>
  <c r="X12" i="15"/>
  <c r="AE12" i="15"/>
  <c r="W12" i="15"/>
  <c r="V12" i="15"/>
  <c r="AC12" i="15"/>
  <c r="U12" i="15"/>
  <c r="AB12" i="15"/>
  <c r="T12" i="15"/>
  <c r="AD12" i="15"/>
  <c r="D50" i="15"/>
  <c r="D58" i="15"/>
  <c r="D51" i="15"/>
  <c r="D54" i="15"/>
  <c r="D55" i="15"/>
  <c r="D52" i="15"/>
  <c r="D56" i="15"/>
  <c r="N56" i="15" s="1"/>
  <c r="D53" i="15"/>
  <c r="R55" i="15"/>
  <c r="R52" i="15"/>
  <c r="R56" i="15"/>
  <c r="R50" i="15"/>
  <c r="R58" i="15"/>
  <c r="R51" i="15"/>
  <c r="R53" i="15"/>
  <c r="R92" i="15"/>
  <c r="AF92" i="15" s="1"/>
  <c r="R54" i="15"/>
  <c r="R143" i="15"/>
  <c r="D143" i="15"/>
  <c r="R129" i="15"/>
  <c r="D129" i="15"/>
  <c r="E129" i="15" s="1"/>
  <c r="D115" i="15"/>
  <c r="R87" i="15"/>
  <c r="D87" i="15"/>
  <c r="D73" i="15"/>
  <c r="R73" i="15"/>
  <c r="D45" i="15"/>
  <c r="N45" i="15" s="1"/>
  <c r="R45" i="15"/>
  <c r="C42" i="11"/>
  <c r="E234" i="11"/>
  <c r="F234" i="11" s="1"/>
  <c r="E9" i="14"/>
  <c r="E8" i="14"/>
  <c r="D234" i="11"/>
  <c r="E45" i="11"/>
  <c r="E44" i="11"/>
  <c r="E43" i="11"/>
  <c r="E42" i="11"/>
  <c r="E41" i="11"/>
  <c r="E40" i="11"/>
  <c r="AO14" i="15" l="1"/>
  <c r="AL12" i="15"/>
  <c r="AR14" i="15"/>
  <c r="AJ12" i="15"/>
  <c r="AH12" i="15"/>
  <c r="AK14" i="15"/>
  <c r="AR12" i="15"/>
  <c r="AP12" i="15"/>
  <c r="AM14" i="15"/>
  <c r="AK12" i="15"/>
  <c r="AM12" i="15"/>
  <c r="AH14" i="15"/>
  <c r="AS14" i="15"/>
  <c r="AS12" i="15"/>
  <c r="AI12" i="15"/>
  <c r="AJ14" i="15"/>
  <c r="AP14" i="15"/>
  <c r="AN14" i="15"/>
  <c r="AN12" i="15"/>
  <c r="AQ12" i="15"/>
  <c r="AI14" i="15"/>
  <c r="AL14" i="15"/>
  <c r="AG12" i="15"/>
  <c r="AQ14" i="15"/>
  <c r="AG14" i="15"/>
  <c r="AO12" i="15"/>
  <c r="AH9" i="15"/>
  <c r="AN9" i="15"/>
  <c r="AQ11" i="15"/>
  <c r="AN11" i="15"/>
  <c r="AP10" i="15"/>
  <c r="AI9" i="15"/>
  <c r="AG9" i="15"/>
  <c r="AR10" i="15"/>
  <c r="AJ11" i="15"/>
  <c r="AQ9" i="15"/>
  <c r="AO9" i="15"/>
  <c r="AO10" i="15"/>
  <c r="AR11" i="15"/>
  <c r="AR9" i="15"/>
  <c r="AN10" i="15"/>
  <c r="AH10" i="15"/>
  <c r="AK11" i="15"/>
  <c r="AK9" i="15"/>
  <c r="AL10" i="15"/>
  <c r="AJ10" i="15"/>
  <c r="AG11" i="15"/>
  <c r="AL11" i="15"/>
  <c r="AL9" i="15"/>
  <c r="AM10" i="15"/>
  <c r="AK10" i="15"/>
  <c r="AO11" i="15"/>
  <c r="AM11" i="15"/>
  <c r="AP9" i="15"/>
  <c r="AM9" i="15"/>
  <c r="AI10" i="15"/>
  <c r="AS10" i="15"/>
  <c r="AH11" i="15"/>
  <c r="AI11" i="15"/>
  <c r="AG10" i="15"/>
  <c r="AJ9" i="15"/>
  <c r="AS9" i="15"/>
  <c r="AQ10" i="15"/>
  <c r="AP11" i="15"/>
  <c r="AS11" i="15"/>
  <c r="AC73" i="15"/>
  <c r="AB73" i="15"/>
  <c r="AA73" i="15"/>
  <c r="AD73" i="15"/>
  <c r="AO87" i="15"/>
  <c r="AG87" i="15"/>
  <c r="P87" i="15"/>
  <c r="H87" i="15"/>
  <c r="AN87" i="15"/>
  <c r="O87" i="15"/>
  <c r="G87" i="15"/>
  <c r="AM87" i="15"/>
  <c r="AF87" i="15"/>
  <c r="N87" i="15"/>
  <c r="F87" i="15"/>
  <c r="AL87" i="15"/>
  <c r="M87" i="15"/>
  <c r="E87" i="15"/>
  <c r="AS87" i="15"/>
  <c r="AK87" i="15"/>
  <c r="L87" i="15"/>
  <c r="AQ87" i="15"/>
  <c r="AI87" i="15"/>
  <c r="J87" i="15"/>
  <c r="AP87" i="15"/>
  <c r="AH87" i="15"/>
  <c r="Q87" i="15"/>
  <c r="K87" i="15"/>
  <c r="I87" i="15"/>
  <c r="AR87" i="15"/>
  <c r="AJ87" i="15"/>
  <c r="J73" i="15"/>
  <c r="Q73" i="15"/>
  <c r="N73" i="15"/>
  <c r="AP73" i="15" s="1"/>
  <c r="I73" i="15"/>
  <c r="P73" i="15"/>
  <c r="H73" i="15"/>
  <c r="O73" i="15"/>
  <c r="G73" i="15"/>
  <c r="F73" i="15"/>
  <c r="M73" i="15"/>
  <c r="AF73" i="15"/>
  <c r="L73" i="15"/>
  <c r="K73" i="15"/>
  <c r="E73" i="15"/>
  <c r="AF45" i="15"/>
  <c r="I143" i="15"/>
  <c r="F143" i="15"/>
  <c r="P143" i="15"/>
  <c r="H143" i="15"/>
  <c r="G143" i="15"/>
  <c r="Q143" i="15"/>
  <c r="AF143" i="15"/>
  <c r="E143" i="15"/>
  <c r="O143" i="15"/>
  <c r="K143" i="15"/>
  <c r="J143" i="15"/>
  <c r="L143" i="15"/>
  <c r="N143" i="15"/>
  <c r="M143" i="15"/>
  <c r="X45" i="15"/>
  <c r="AE45" i="15"/>
  <c r="W45" i="15"/>
  <c r="AD45" i="15"/>
  <c r="V45" i="15"/>
  <c r="AC45" i="15"/>
  <c r="U45" i="15"/>
  <c r="Y45" i="15"/>
  <c r="AB45" i="15"/>
  <c r="T45" i="15"/>
  <c r="AA45" i="15"/>
  <c r="S45" i="15"/>
  <c r="Z45" i="15"/>
  <c r="R59" i="15"/>
  <c r="AE73" i="15"/>
  <c r="X143" i="15"/>
  <c r="AE143" i="15"/>
  <c r="AD143" i="15"/>
  <c r="AC143" i="15"/>
  <c r="AB143" i="15"/>
  <c r="AA143" i="15"/>
  <c r="S87" i="15"/>
  <c r="AB87" i="15"/>
  <c r="Z87" i="15"/>
  <c r="T87" i="15"/>
  <c r="Y87" i="15"/>
  <c r="AC87" i="15"/>
  <c r="X87" i="15"/>
  <c r="AE87" i="15"/>
  <c r="U87" i="15"/>
  <c r="W87" i="15"/>
  <c r="AD87" i="15"/>
  <c r="V87" i="15"/>
  <c r="AA87" i="15"/>
  <c r="AE58" i="15"/>
  <c r="AD58" i="15"/>
  <c r="AC58" i="15"/>
  <c r="AB58" i="15"/>
  <c r="AA58" i="15"/>
  <c r="Y92" i="15"/>
  <c r="AM92" i="15" s="1"/>
  <c r="X92" i="15"/>
  <c r="AL92" i="15" s="1"/>
  <c r="V92" i="15"/>
  <c r="AJ92" i="15" s="1"/>
  <c r="AE92" i="15"/>
  <c r="AS92" i="15" s="1"/>
  <c r="W92" i="15"/>
  <c r="AK92" i="15" s="1"/>
  <c r="AD92" i="15"/>
  <c r="AR92" i="15" s="1"/>
  <c r="AC92" i="15"/>
  <c r="AQ92" i="15" s="1"/>
  <c r="AB92" i="15"/>
  <c r="AP92" i="15" s="1"/>
  <c r="U92" i="15"/>
  <c r="AI92" i="15" s="1"/>
  <c r="T92" i="15"/>
  <c r="AH92" i="15" s="1"/>
  <c r="AA92" i="15"/>
  <c r="AO92" i="15" s="1"/>
  <c r="Z92" i="15"/>
  <c r="AN92" i="15" s="1"/>
  <c r="S92" i="15"/>
  <c r="AG92" i="15" s="1"/>
  <c r="Q115" i="15"/>
  <c r="AS115" i="15" s="1"/>
  <c r="I115" i="15"/>
  <c r="AK115" i="15" s="1"/>
  <c r="P115" i="15"/>
  <c r="AR115" i="15" s="1"/>
  <c r="H115" i="15"/>
  <c r="AJ115" i="15" s="1"/>
  <c r="O115" i="15"/>
  <c r="AQ115" i="15" s="1"/>
  <c r="G115" i="15"/>
  <c r="AI115" i="15" s="1"/>
  <c r="AF115" i="15"/>
  <c r="N115" i="15"/>
  <c r="AP115" i="15" s="1"/>
  <c r="F115" i="15"/>
  <c r="AH115" i="15" s="1"/>
  <c r="M115" i="15"/>
  <c r="AO115" i="15" s="1"/>
  <c r="J115" i="15"/>
  <c r="AL115" i="15" s="1"/>
  <c r="L115" i="15"/>
  <c r="AN115" i="15" s="1"/>
  <c r="E115" i="15"/>
  <c r="AG115" i="15" s="1"/>
  <c r="D101" i="15"/>
  <c r="K115" i="15"/>
  <c r="AM115" i="15" s="1"/>
  <c r="N129" i="15"/>
  <c r="F129" i="15"/>
  <c r="M129" i="15"/>
  <c r="L129" i="15"/>
  <c r="K129" i="15"/>
  <c r="AF129" i="15"/>
  <c r="H129" i="15"/>
  <c r="Q129" i="15"/>
  <c r="I129" i="15"/>
  <c r="P129" i="15"/>
  <c r="O129" i="15"/>
  <c r="J129" i="15"/>
  <c r="G129" i="15"/>
  <c r="AE129" i="15"/>
  <c r="W129" i="15"/>
  <c r="AD129" i="15"/>
  <c r="V129" i="15"/>
  <c r="AC129" i="15"/>
  <c r="U129" i="15"/>
  <c r="AB129" i="15"/>
  <c r="T129" i="15"/>
  <c r="S129" i="15"/>
  <c r="AG129" i="15" s="1"/>
  <c r="Z129" i="15"/>
  <c r="Y129" i="15"/>
  <c r="X129" i="15"/>
  <c r="AA129" i="15"/>
  <c r="R101" i="15"/>
  <c r="AD54" i="15"/>
  <c r="V54" i="15"/>
  <c r="AB54" i="15"/>
  <c r="T54" i="15"/>
  <c r="AA54" i="15"/>
  <c r="S54" i="15"/>
  <c r="AE54" i="15"/>
  <c r="AC54" i="15"/>
  <c r="Z54" i="15"/>
  <c r="Y54" i="15"/>
  <c r="X54" i="15"/>
  <c r="W54" i="15"/>
  <c r="U54" i="15"/>
  <c r="J52" i="15"/>
  <c r="AF52" i="15"/>
  <c r="O52" i="15"/>
  <c r="G52" i="15"/>
  <c r="M52" i="15"/>
  <c r="L52" i="15"/>
  <c r="K52" i="15"/>
  <c r="I52" i="15"/>
  <c r="H52" i="15"/>
  <c r="Q52" i="15"/>
  <c r="F52" i="15"/>
  <c r="E52" i="15"/>
  <c r="P52" i="15"/>
  <c r="N52" i="15"/>
  <c r="AB56" i="15"/>
  <c r="AP56" i="15" s="1"/>
  <c r="T56" i="15"/>
  <c r="Z56" i="15"/>
  <c r="Y56" i="15"/>
  <c r="AE56" i="15"/>
  <c r="S56" i="15"/>
  <c r="AD56" i="15"/>
  <c r="AC56" i="15"/>
  <c r="AA56" i="15"/>
  <c r="X56" i="15"/>
  <c r="W56" i="15"/>
  <c r="V56" i="15"/>
  <c r="U56" i="15"/>
  <c r="AF50" i="15"/>
  <c r="AA53" i="15"/>
  <c r="S53" i="15"/>
  <c r="Y53" i="15"/>
  <c r="X53" i="15"/>
  <c r="AE53" i="15"/>
  <c r="T53" i="15"/>
  <c r="AD53" i="15"/>
  <c r="AC53" i="15"/>
  <c r="W53" i="15"/>
  <c r="AB53" i="15"/>
  <c r="Z53" i="15"/>
  <c r="V53" i="15"/>
  <c r="U53" i="15"/>
  <c r="M53" i="15"/>
  <c r="E53" i="15"/>
  <c r="J53" i="15"/>
  <c r="L53" i="15"/>
  <c r="AF53" i="15"/>
  <c r="K53" i="15"/>
  <c r="AM53" i="15" s="1"/>
  <c r="I53" i="15"/>
  <c r="P53" i="15"/>
  <c r="F53" i="15"/>
  <c r="H53" i="15"/>
  <c r="Q53" i="15"/>
  <c r="G53" i="15"/>
  <c r="O53" i="15"/>
  <c r="N53" i="15"/>
  <c r="AF55" i="15"/>
  <c r="K55" i="15"/>
  <c r="P55" i="15"/>
  <c r="H55" i="15"/>
  <c r="G55" i="15"/>
  <c r="Q55" i="15"/>
  <c r="F55" i="15"/>
  <c r="E55" i="15"/>
  <c r="O55" i="15"/>
  <c r="L55" i="15"/>
  <c r="N55" i="15"/>
  <c r="M55" i="15"/>
  <c r="J55" i="15"/>
  <c r="I55" i="15"/>
  <c r="L45" i="15"/>
  <c r="Q45" i="15"/>
  <c r="AS45" i="15" s="1"/>
  <c r="I45" i="15"/>
  <c r="P45" i="15"/>
  <c r="H45" i="15"/>
  <c r="F45" i="15"/>
  <c r="M45" i="15"/>
  <c r="E45" i="15"/>
  <c r="G45" i="15"/>
  <c r="O45" i="15"/>
  <c r="K45" i="15"/>
  <c r="J45" i="15"/>
  <c r="AC51" i="15"/>
  <c r="U51" i="15"/>
  <c r="AA51" i="15"/>
  <c r="S51" i="15"/>
  <c r="Z51" i="15"/>
  <c r="T51" i="15"/>
  <c r="AE51" i="15"/>
  <c r="AD51" i="15"/>
  <c r="AB51" i="15"/>
  <c r="Y51" i="15"/>
  <c r="X51" i="15"/>
  <c r="W51" i="15"/>
  <c r="V51" i="15"/>
  <c r="X52" i="15"/>
  <c r="AD52" i="15"/>
  <c r="V52" i="15"/>
  <c r="AC52" i="15"/>
  <c r="U52" i="15"/>
  <c r="S52" i="15"/>
  <c r="AE52" i="15"/>
  <c r="AB52" i="15"/>
  <c r="Y52" i="15"/>
  <c r="AA52" i="15"/>
  <c r="Z52" i="15"/>
  <c r="W52" i="15"/>
  <c r="T52" i="15"/>
  <c r="F56" i="15"/>
  <c r="AF56" i="15"/>
  <c r="K56" i="15"/>
  <c r="P56" i="15"/>
  <c r="O56" i="15"/>
  <c r="AQ56" i="15" s="1"/>
  <c r="M56" i="15"/>
  <c r="I56" i="15"/>
  <c r="AK56" i="15" s="1"/>
  <c r="L56" i="15"/>
  <c r="AN56" i="15" s="1"/>
  <c r="J56" i="15"/>
  <c r="H56" i="15"/>
  <c r="Q56" i="15"/>
  <c r="G56" i="15"/>
  <c r="E56" i="15"/>
  <c r="AL54" i="15"/>
  <c r="P54" i="15"/>
  <c r="H54" i="15"/>
  <c r="AR54" i="15"/>
  <c r="AJ54" i="15"/>
  <c r="AQ54" i="15"/>
  <c r="AI54" i="15"/>
  <c r="M54" i="15"/>
  <c r="E54" i="15"/>
  <c r="AG54" i="15"/>
  <c r="AS54" i="15"/>
  <c r="AF54" i="15"/>
  <c r="I54" i="15"/>
  <c r="AP54" i="15"/>
  <c r="G54" i="15"/>
  <c r="AM54" i="15"/>
  <c r="AO54" i="15"/>
  <c r="Q54" i="15"/>
  <c r="F54" i="15"/>
  <c r="AN54" i="15"/>
  <c r="O54" i="15"/>
  <c r="N54" i="15"/>
  <c r="AK54" i="15"/>
  <c r="L54" i="15"/>
  <c r="K54" i="15"/>
  <c r="J54" i="15"/>
  <c r="AH54" i="15"/>
  <c r="Y55" i="15"/>
  <c r="AE55" i="15"/>
  <c r="W55" i="15"/>
  <c r="AD55" i="15"/>
  <c r="V55" i="15"/>
  <c r="S55" i="15"/>
  <c r="AC55" i="15"/>
  <c r="AB55" i="15"/>
  <c r="X55" i="15"/>
  <c r="AA55" i="15"/>
  <c r="Z55" i="15"/>
  <c r="U55" i="15"/>
  <c r="T55" i="15"/>
  <c r="AF51" i="15"/>
  <c r="O51" i="15"/>
  <c r="G51" i="15"/>
  <c r="L51" i="15"/>
  <c r="F51" i="15"/>
  <c r="P51" i="15"/>
  <c r="E51" i="15"/>
  <c r="J51" i="15"/>
  <c r="N51" i="15"/>
  <c r="M51" i="15"/>
  <c r="K51" i="15"/>
  <c r="I51" i="15"/>
  <c r="Q51" i="15"/>
  <c r="H51" i="15"/>
  <c r="L58" i="15"/>
  <c r="J58" i="15"/>
  <c r="Q58" i="15"/>
  <c r="I58" i="15"/>
  <c r="AF58" i="15"/>
  <c r="F58" i="15"/>
  <c r="P58" i="15"/>
  <c r="AR58" i="15" s="1"/>
  <c r="E58" i="15"/>
  <c r="O58" i="15"/>
  <c r="K58" i="15"/>
  <c r="N58" i="15"/>
  <c r="M58" i="15"/>
  <c r="H58" i="15"/>
  <c r="G58" i="15"/>
  <c r="X50" i="15"/>
  <c r="AC50" i="15"/>
  <c r="AE50" i="15"/>
  <c r="W50" i="15"/>
  <c r="U50" i="15"/>
  <c r="AD50" i="15"/>
  <c r="V50" i="15"/>
  <c r="AB50" i="15"/>
  <c r="T50" i="15"/>
  <c r="AA50" i="15"/>
  <c r="S50" i="15"/>
  <c r="Z50" i="15"/>
  <c r="Y50" i="15"/>
  <c r="L50" i="15"/>
  <c r="I50" i="15"/>
  <c r="K50" i="15"/>
  <c r="Q50" i="15"/>
  <c r="J50" i="15"/>
  <c r="P50" i="15"/>
  <c r="H50" i="15"/>
  <c r="G50" i="15"/>
  <c r="N50" i="15"/>
  <c r="E50" i="15"/>
  <c r="O50" i="15"/>
  <c r="F50" i="15"/>
  <c r="M50" i="15"/>
  <c r="D59" i="15"/>
  <c r="E29" i="14"/>
  <c r="E11" i="14"/>
  <c r="H41" i="14"/>
  <c r="J41" i="14" s="1"/>
  <c r="E12" i="14"/>
  <c r="H42" i="14"/>
  <c r="J42" i="14" s="1"/>
  <c r="E15" i="14"/>
  <c r="H30" i="14"/>
  <c r="J30" i="14" s="1"/>
  <c r="H45" i="14"/>
  <c r="J45" i="14" s="1"/>
  <c r="H26" i="14"/>
  <c r="J26" i="14" s="1"/>
  <c r="E26" i="14"/>
  <c r="H27" i="14"/>
  <c r="J27" i="14" s="1"/>
  <c r="E27" i="14"/>
  <c r="E14" i="14"/>
  <c r="D46" i="15"/>
  <c r="D8" i="15"/>
  <c r="E8" i="15" s="1"/>
  <c r="V73" i="15"/>
  <c r="U73" i="15"/>
  <c r="T73" i="15"/>
  <c r="Z73" i="15"/>
  <c r="S73" i="15"/>
  <c r="Y73" i="15"/>
  <c r="X73" i="15"/>
  <c r="W73" i="15"/>
  <c r="V58" i="15"/>
  <c r="X58" i="15"/>
  <c r="S58" i="15"/>
  <c r="T58" i="15"/>
  <c r="AH58" i="15" s="1"/>
  <c r="Z58" i="15"/>
  <c r="Y58" i="15"/>
  <c r="W58" i="15"/>
  <c r="U58" i="15"/>
  <c r="R31" i="15"/>
  <c r="AF31" i="15" s="1"/>
  <c r="Z143" i="15"/>
  <c r="AN143" i="15" s="1"/>
  <c r="S143" i="15"/>
  <c r="Y143" i="15"/>
  <c r="AM143" i="15" s="1"/>
  <c r="W143" i="15"/>
  <c r="V143" i="15"/>
  <c r="AJ143" i="15" s="1"/>
  <c r="U143" i="15"/>
  <c r="AI143" i="15" s="1"/>
  <c r="T143" i="15"/>
  <c r="AH143" i="15" s="1"/>
  <c r="D144" i="15"/>
  <c r="R144" i="15"/>
  <c r="R130" i="15"/>
  <c r="D130" i="15"/>
  <c r="D116" i="15"/>
  <c r="R116" i="15"/>
  <c r="D88" i="15"/>
  <c r="R88" i="15"/>
  <c r="R74" i="15"/>
  <c r="D74" i="15"/>
  <c r="R46" i="15"/>
  <c r="E32" i="11"/>
  <c r="E33" i="11"/>
  <c r="C40" i="14"/>
  <c r="C25" i="14"/>
  <c r="AG143" i="15" l="1"/>
  <c r="AK143" i="15"/>
  <c r="AO56" i="15"/>
  <c r="AO143" i="15"/>
  <c r="AQ143" i="15"/>
  <c r="AS143" i="15"/>
  <c r="AP143" i="15"/>
  <c r="AL143" i="15"/>
  <c r="AR143" i="15"/>
  <c r="AS53" i="15"/>
  <c r="AG51" i="15"/>
  <c r="AR56" i="15"/>
  <c r="AM45" i="15"/>
  <c r="AL56" i="15"/>
  <c r="AH56" i="15"/>
  <c r="AI56" i="15"/>
  <c r="AS56" i="15"/>
  <c r="AM56" i="15"/>
  <c r="AJ56" i="15"/>
  <c r="AL55" i="15"/>
  <c r="AI55" i="15"/>
  <c r="AO55" i="15"/>
  <c r="AJ55" i="15"/>
  <c r="AP55" i="15"/>
  <c r="AR55" i="15"/>
  <c r="AG56" i="15"/>
  <c r="AN55" i="15"/>
  <c r="AM55" i="15"/>
  <c r="AQ55" i="15"/>
  <c r="AG55" i="15"/>
  <c r="AH55" i="15"/>
  <c r="AK55" i="15"/>
  <c r="AS55" i="15"/>
  <c r="AB130" i="15"/>
  <c r="AA130" i="15"/>
  <c r="X130" i="15"/>
  <c r="AD130" i="15"/>
  <c r="AE130" i="15"/>
  <c r="AC130" i="15"/>
  <c r="O74" i="15"/>
  <c r="N74" i="15"/>
  <c r="M74" i="15"/>
  <c r="J74" i="15"/>
  <c r="Q74" i="15"/>
  <c r="P74" i="15"/>
  <c r="AB88" i="15"/>
  <c r="AA88" i="15"/>
  <c r="X88" i="15"/>
  <c r="AD88" i="15"/>
  <c r="AE88" i="15"/>
  <c r="AC88" i="15"/>
  <c r="Q88" i="15"/>
  <c r="P88" i="15"/>
  <c r="O88" i="15"/>
  <c r="M88" i="15"/>
  <c r="N88" i="15"/>
  <c r="J88" i="15"/>
  <c r="Q46" i="15"/>
  <c r="P46" i="15"/>
  <c r="O46" i="15"/>
  <c r="M46" i="15"/>
  <c r="N46" i="15"/>
  <c r="J46" i="15"/>
  <c r="AE74" i="15"/>
  <c r="AD74" i="15"/>
  <c r="AC74" i="15"/>
  <c r="AB74" i="15"/>
  <c r="AA74" i="15"/>
  <c r="X74" i="15"/>
  <c r="AE116" i="15"/>
  <c r="AD116" i="15"/>
  <c r="AC116" i="15"/>
  <c r="AB116" i="15"/>
  <c r="X116" i="15"/>
  <c r="AA116" i="15"/>
  <c r="P144" i="15"/>
  <c r="O144" i="15"/>
  <c r="N144" i="15"/>
  <c r="M144" i="15"/>
  <c r="AO144" i="15" s="1"/>
  <c r="J144" i="15"/>
  <c r="Q144" i="15"/>
  <c r="AA46" i="15"/>
  <c r="X46" i="15"/>
  <c r="AE46" i="15"/>
  <c r="AC46" i="15"/>
  <c r="AD46" i="15"/>
  <c r="AB46" i="15"/>
  <c r="AE144" i="15"/>
  <c r="AS144" i="15" s="1"/>
  <c r="AD144" i="15"/>
  <c r="AC144" i="15"/>
  <c r="AB144" i="15"/>
  <c r="X144" i="15"/>
  <c r="AA144" i="15"/>
  <c r="P116" i="15"/>
  <c r="O116" i="15"/>
  <c r="N116" i="15"/>
  <c r="M116" i="15"/>
  <c r="J116" i="15"/>
  <c r="Q116" i="15"/>
  <c r="J130" i="15"/>
  <c r="Q130" i="15"/>
  <c r="P130" i="15"/>
  <c r="N130" i="15"/>
  <c r="O130" i="15"/>
  <c r="M130" i="15"/>
  <c r="AL51" i="15"/>
  <c r="AP45" i="15"/>
  <c r="AL45" i="15"/>
  <c r="AG45" i="15"/>
  <c r="AI50" i="15"/>
  <c r="AH51" i="15"/>
  <c r="AM51" i="15"/>
  <c r="AI51" i="15"/>
  <c r="AR45" i="15"/>
  <c r="AO73" i="15"/>
  <c r="AL129" i="15"/>
  <c r="AJ129" i="15"/>
  <c r="AI53" i="15"/>
  <c r="AH45" i="15"/>
  <c r="AR73" i="15"/>
  <c r="AS51" i="15"/>
  <c r="AQ45" i="15"/>
  <c r="AR51" i="15"/>
  <c r="AN45" i="15"/>
  <c r="AJ51" i="15"/>
  <c r="AN51" i="15"/>
  <c r="AJ45" i="15"/>
  <c r="AH53" i="15"/>
  <c r="AO51" i="15"/>
  <c r="AQ51" i="15"/>
  <c r="AQ53" i="15"/>
  <c r="AS58" i="15"/>
  <c r="AP51" i="15"/>
  <c r="AK45" i="15"/>
  <c r="AN53" i="15"/>
  <c r="AM129" i="15"/>
  <c r="AL53" i="15"/>
  <c r="AN129" i="15"/>
  <c r="AJ53" i="15"/>
  <c r="AG53" i="15"/>
  <c r="AH52" i="15"/>
  <c r="AQ52" i="15"/>
  <c r="AQ129" i="15"/>
  <c r="AO45" i="15"/>
  <c r="AK129" i="15"/>
  <c r="AO53" i="15"/>
  <c r="AS52" i="15"/>
  <c r="AR129" i="15"/>
  <c r="AO129" i="15"/>
  <c r="AR53" i="15"/>
  <c r="AJ52" i="15"/>
  <c r="AL52" i="15"/>
  <c r="AH129" i="15"/>
  <c r="AK51" i="15"/>
  <c r="AK53" i="15"/>
  <c r="AK52" i="15"/>
  <c r="AS129" i="15"/>
  <c r="AP129" i="15"/>
  <c r="AQ73" i="15"/>
  <c r="AP53" i="15"/>
  <c r="AM52" i="15"/>
  <c r="AP52" i="15"/>
  <c r="AN52" i="15"/>
  <c r="AR52" i="15"/>
  <c r="AO52" i="15"/>
  <c r="AI129" i="15"/>
  <c r="AI45" i="15"/>
  <c r="AG52" i="15"/>
  <c r="AI52" i="15"/>
  <c r="AQ50" i="15"/>
  <c r="AP50" i="15"/>
  <c r="AH50" i="15"/>
  <c r="AM58" i="15"/>
  <c r="AJ73" i="15"/>
  <c r="AN58" i="15"/>
  <c r="AG73" i="15"/>
  <c r="AK58" i="15"/>
  <c r="AS50" i="15"/>
  <c r="AL73" i="15"/>
  <c r="AO50" i="15"/>
  <c r="AH73" i="15"/>
  <c r="AO58" i="15"/>
  <c r="AK50" i="15"/>
  <c r="AM50" i="15"/>
  <c r="S59" i="15"/>
  <c r="AG50" i="15"/>
  <c r="AN50" i="15"/>
  <c r="Z59" i="15"/>
  <c r="W59" i="15"/>
  <c r="AJ50" i="15"/>
  <c r="AP58" i="15"/>
  <c r="U59" i="15"/>
  <c r="X59" i="15"/>
  <c r="AR50" i="15"/>
  <c r="Y59" i="15"/>
  <c r="AL50" i="15"/>
  <c r="AQ58" i="15"/>
  <c r="AG58" i="15"/>
  <c r="T59" i="15"/>
  <c r="V59" i="15"/>
  <c r="AN73" i="15"/>
  <c r="AI58" i="15"/>
  <c r="AK73" i="15"/>
  <c r="AJ58" i="15"/>
  <c r="AS73" i="15"/>
  <c r="AL58" i="15"/>
  <c r="AM73" i="15"/>
  <c r="AI73" i="15"/>
  <c r="AF74" i="15"/>
  <c r="AQ144" i="15"/>
  <c r="AP144" i="15"/>
  <c r="AF144" i="15"/>
  <c r="AF8" i="15"/>
  <c r="AG8" i="15"/>
  <c r="AQ88" i="15"/>
  <c r="AP88" i="15"/>
  <c r="AF88" i="15"/>
  <c r="AO88" i="15"/>
  <c r="AL88" i="15"/>
  <c r="AS88" i="15"/>
  <c r="AR88" i="15"/>
  <c r="AF46" i="15"/>
  <c r="AF116" i="15"/>
  <c r="AB59" i="15"/>
  <c r="AE59" i="15"/>
  <c r="AA59" i="15"/>
  <c r="AD59" i="15"/>
  <c r="AC59" i="15"/>
  <c r="R60" i="15"/>
  <c r="R32" i="15"/>
  <c r="AA31" i="15"/>
  <c r="AO31" i="15" s="1"/>
  <c r="Y31" i="15"/>
  <c r="AM31" i="15" s="1"/>
  <c r="T31" i="15"/>
  <c r="AH31" i="15" s="1"/>
  <c r="S31" i="15"/>
  <c r="AG31" i="15" s="1"/>
  <c r="X31" i="15"/>
  <c r="AL31" i="15" s="1"/>
  <c r="AE31" i="15"/>
  <c r="AS31" i="15" s="1"/>
  <c r="W31" i="15"/>
  <c r="AK31" i="15" s="1"/>
  <c r="Z31" i="15"/>
  <c r="AN31" i="15" s="1"/>
  <c r="AD31" i="15"/>
  <c r="AR31" i="15" s="1"/>
  <c r="V31" i="15"/>
  <c r="AJ31" i="15" s="1"/>
  <c r="AC31" i="15"/>
  <c r="AQ31" i="15" s="1"/>
  <c r="U31" i="15"/>
  <c r="AI31" i="15" s="1"/>
  <c r="AB31" i="15"/>
  <c r="AP31" i="15" s="1"/>
  <c r="D60" i="15"/>
  <c r="P59" i="15"/>
  <c r="H59" i="15"/>
  <c r="O59" i="15"/>
  <c r="G59" i="15"/>
  <c r="N59" i="15"/>
  <c r="F59" i="15"/>
  <c r="M59" i="15"/>
  <c r="E59" i="15"/>
  <c r="AF59" i="15"/>
  <c r="J59" i="15"/>
  <c r="I59" i="15"/>
  <c r="Q59" i="15"/>
  <c r="L59" i="15"/>
  <c r="K59" i="15"/>
  <c r="S101" i="15"/>
  <c r="V101" i="15"/>
  <c r="Y101" i="15"/>
  <c r="T101" i="15"/>
  <c r="AE101" i="15"/>
  <c r="Z101" i="15"/>
  <c r="W101" i="15"/>
  <c r="AC101" i="15"/>
  <c r="AB101" i="15"/>
  <c r="AD101" i="15"/>
  <c r="U101" i="15"/>
  <c r="X101" i="15"/>
  <c r="AA101" i="15"/>
  <c r="AF130" i="15"/>
  <c r="N101" i="15"/>
  <c r="J101" i="15"/>
  <c r="F101" i="15"/>
  <c r="H101" i="15"/>
  <c r="P101" i="15"/>
  <c r="AF101" i="15"/>
  <c r="G101" i="15"/>
  <c r="M101" i="15"/>
  <c r="O101" i="15"/>
  <c r="Q101" i="15"/>
  <c r="L101" i="15"/>
  <c r="I101" i="15"/>
  <c r="E101" i="15"/>
  <c r="K101" i="15"/>
  <c r="K8" i="15"/>
  <c r="AM8" i="15" s="1"/>
  <c r="J8" i="15"/>
  <c r="AL8" i="15" s="1"/>
  <c r="P8" i="15"/>
  <c r="AR8" i="15" s="1"/>
  <c r="H8" i="15"/>
  <c r="AJ8" i="15" s="1"/>
  <c r="Q8" i="15"/>
  <c r="AS8" i="15" s="1"/>
  <c r="I8" i="15"/>
  <c r="AK8" i="15" s="1"/>
  <c r="O8" i="15"/>
  <c r="AQ8" i="15" s="1"/>
  <c r="G8" i="15"/>
  <c r="AI8" i="15" s="1"/>
  <c r="N8" i="15"/>
  <c r="AP8" i="15" s="1"/>
  <c r="F8" i="15"/>
  <c r="AH8" i="15" s="1"/>
  <c r="M8" i="15"/>
  <c r="AO8" i="15" s="1"/>
  <c r="L8" i="15"/>
  <c r="AN8" i="15" s="1"/>
  <c r="H29" i="14"/>
  <c r="J29" i="14" s="1"/>
  <c r="J121" i="14"/>
  <c r="C121" i="14"/>
  <c r="E121" i="14" s="1"/>
  <c r="J130" i="14"/>
  <c r="C130" i="14"/>
  <c r="E130" i="14" s="1"/>
  <c r="J129" i="14"/>
  <c r="C129" i="14"/>
  <c r="E129" i="14" s="1"/>
  <c r="E25" i="14"/>
  <c r="E40" i="14"/>
  <c r="D102" i="15"/>
  <c r="D17" i="15"/>
  <c r="R17" i="15"/>
  <c r="R18" i="15" s="1"/>
  <c r="R102" i="15"/>
  <c r="D32" i="15"/>
  <c r="AL144" i="15" l="1"/>
  <c r="AR144" i="15"/>
  <c r="AP130" i="15"/>
  <c r="Q32" i="15"/>
  <c r="P32" i="15"/>
  <c r="O32" i="15"/>
  <c r="M32" i="15"/>
  <c r="N32" i="15"/>
  <c r="J32" i="15"/>
  <c r="X32" i="15"/>
  <c r="AE32" i="15"/>
  <c r="AD32" i="15"/>
  <c r="AC32" i="15"/>
  <c r="AB32" i="15"/>
  <c r="AA32" i="15"/>
  <c r="AC102" i="15"/>
  <c r="AB102" i="15"/>
  <c r="AE102" i="15"/>
  <c r="AD102" i="15"/>
  <c r="Q102" i="15"/>
  <c r="P102" i="15"/>
  <c r="O102" i="15"/>
  <c r="N102" i="15"/>
  <c r="AL130" i="15"/>
  <c r="AO130" i="15"/>
  <c r="AQ130" i="15"/>
  <c r="AS130" i="15"/>
  <c r="AR116" i="15"/>
  <c r="AS59" i="15"/>
  <c r="AK59" i="15"/>
  <c r="AO59" i="15"/>
  <c r="AS101" i="15"/>
  <c r="AK101" i="15"/>
  <c r="AQ101" i="15"/>
  <c r="AN59" i="15"/>
  <c r="AI59" i="15"/>
  <c r="AJ59" i="15"/>
  <c r="AQ59" i="15"/>
  <c r="AN101" i="15"/>
  <c r="AO101" i="15"/>
  <c r="AO46" i="15"/>
  <c r="AS116" i="15"/>
  <c r="AM59" i="15"/>
  <c r="AL46" i="15"/>
  <c r="AP59" i="15"/>
  <c r="AH101" i="15"/>
  <c r="AI101" i="15"/>
  <c r="AM101" i="15"/>
  <c r="AL101" i="15"/>
  <c r="AG101" i="15"/>
  <c r="AR101" i="15"/>
  <c r="AL116" i="15"/>
  <c r="AP46" i="15"/>
  <c r="AJ101" i="15"/>
  <c r="AO116" i="15"/>
  <c r="AQ46" i="15"/>
  <c r="AP116" i="15"/>
  <c r="AP101" i="15"/>
  <c r="AR46" i="15"/>
  <c r="AQ116" i="15"/>
  <c r="AR130" i="15"/>
  <c r="AS46" i="15"/>
  <c r="AL59" i="15"/>
  <c r="AG59" i="15"/>
  <c r="AH59" i="15"/>
  <c r="X60" i="15"/>
  <c r="AR59" i="15"/>
  <c r="AS74" i="15"/>
  <c r="AL74" i="15"/>
  <c r="AO74" i="15"/>
  <c r="AP74" i="15"/>
  <c r="AQ74" i="15"/>
  <c r="AR74" i="15"/>
  <c r="AF32" i="15"/>
  <c r="D18" i="15"/>
  <c r="AF17" i="15"/>
  <c r="M102" i="15"/>
  <c r="AF102" i="15"/>
  <c r="J102" i="15"/>
  <c r="AC60" i="15"/>
  <c r="AE60" i="15"/>
  <c r="AB60" i="15"/>
  <c r="AD60" i="15"/>
  <c r="AA60" i="15"/>
  <c r="X102" i="15"/>
  <c r="AA102" i="15"/>
  <c r="AA17" i="15"/>
  <c r="S17" i="15"/>
  <c r="Z17" i="15"/>
  <c r="Y17" i="15"/>
  <c r="AB17" i="15"/>
  <c r="X17" i="15"/>
  <c r="V17" i="15"/>
  <c r="T17" i="15"/>
  <c r="W17" i="15"/>
  <c r="U17" i="15"/>
  <c r="AE17" i="15"/>
  <c r="AD17" i="15"/>
  <c r="AC17" i="15"/>
  <c r="J17" i="15"/>
  <c r="E17" i="15"/>
  <c r="I17" i="15"/>
  <c r="Q17" i="15"/>
  <c r="P17" i="15"/>
  <c r="H17" i="15"/>
  <c r="M17" i="15"/>
  <c r="L17" i="15"/>
  <c r="F17" i="15"/>
  <c r="N17" i="15"/>
  <c r="O17" i="15"/>
  <c r="K17" i="15"/>
  <c r="G17" i="15"/>
  <c r="AF60" i="15"/>
  <c r="J60" i="15"/>
  <c r="Q60" i="15"/>
  <c r="P60" i="15"/>
  <c r="O60" i="15"/>
  <c r="N60" i="15"/>
  <c r="M60" i="15"/>
  <c r="H24" i="14"/>
  <c r="J24" i="14" s="1"/>
  <c r="E24" i="14"/>
  <c r="C28" i="14"/>
  <c r="AL17" i="15" l="1"/>
  <c r="AI17" i="15"/>
  <c r="AP60" i="15"/>
  <c r="AQ60" i="15"/>
  <c r="AL60" i="15"/>
  <c r="AO17" i="15"/>
  <c r="AS17" i="15"/>
  <c r="AP17" i="15"/>
  <c r="AL102" i="15"/>
  <c r="AO60" i="15"/>
  <c r="AM17" i="15"/>
  <c r="AG17" i="15"/>
  <c r="AH17" i="15"/>
  <c r="AN17" i="15"/>
  <c r="AR102" i="15"/>
  <c r="AP32" i="15"/>
  <c r="AR32" i="15"/>
  <c r="AP102" i="15"/>
  <c r="AQ32" i="15"/>
  <c r="AJ17" i="15"/>
  <c r="AQ102" i="15"/>
  <c r="AS32" i="15"/>
  <c r="AR17" i="15"/>
  <c r="AS102" i="15"/>
  <c r="AO102" i="15"/>
  <c r="AL32" i="15"/>
  <c r="AQ17" i="15"/>
  <c r="AK17" i="15"/>
  <c r="AO32" i="15"/>
  <c r="AR60" i="15"/>
  <c r="AS60" i="15"/>
  <c r="J18" i="15"/>
  <c r="N18" i="15"/>
  <c r="M18" i="15"/>
  <c r="AF18" i="15"/>
  <c r="O18" i="15"/>
  <c r="Q18" i="15"/>
  <c r="P18" i="15"/>
  <c r="X18" i="15"/>
  <c r="AE18" i="15"/>
  <c r="AD18" i="15"/>
  <c r="AA18" i="15"/>
  <c r="AC18" i="15"/>
  <c r="AB18" i="15"/>
  <c r="E44" i="14"/>
  <c r="H44" i="14"/>
  <c r="J44" i="14" s="1"/>
  <c r="J131" i="14"/>
  <c r="C131" i="14"/>
  <c r="E131" i="14" s="1"/>
  <c r="J132" i="14"/>
  <c r="C132" i="14"/>
  <c r="E132" i="14" s="1"/>
  <c r="E28" i="14"/>
  <c r="H39" i="14"/>
  <c r="J39" i="14" s="1"/>
  <c r="E39" i="14"/>
  <c r="C43" i="14"/>
  <c r="AR18" i="15" l="1"/>
  <c r="AS18" i="15"/>
  <c r="AQ18" i="15"/>
  <c r="AO18" i="15"/>
  <c r="AP18" i="15"/>
  <c r="AL18" i="15"/>
  <c r="E43" i="14"/>
  <c r="C7" i="14"/>
  <c r="D13" i="14"/>
  <c r="C13" i="14"/>
  <c r="H28" i="14" s="1"/>
  <c r="C10" i="14"/>
  <c r="D7" i="14"/>
  <c r="I37" i="14" l="1"/>
  <c r="I22" i="14"/>
  <c r="E10" i="14"/>
  <c r="H40" i="14"/>
  <c r="J40" i="14" s="1"/>
  <c r="H25" i="14"/>
  <c r="J25" i="14" s="1"/>
  <c r="H23" i="14"/>
  <c r="J23" i="14" s="1"/>
  <c r="E23" i="14"/>
  <c r="I28" i="14"/>
  <c r="J28" i="14" s="1"/>
  <c r="I43" i="14"/>
  <c r="H38" i="14"/>
  <c r="J38" i="14" s="1"/>
  <c r="E38" i="14"/>
  <c r="H43" i="14"/>
  <c r="E13" i="14"/>
  <c r="E7" i="14"/>
  <c r="D18" i="14"/>
  <c r="I33" i="14" s="1"/>
  <c r="C18" i="14"/>
  <c r="C37" i="14"/>
  <c r="C48" i="14" s="1"/>
  <c r="C22" i="14"/>
  <c r="C45" i="11"/>
  <c r="C44" i="11"/>
  <c r="C43" i="11"/>
  <c r="C41" i="11"/>
  <c r="C40" i="11"/>
  <c r="E18" i="14" l="1"/>
  <c r="C54" i="11"/>
  <c r="I48" i="14"/>
  <c r="H37" i="14"/>
  <c r="J37" i="14" s="1"/>
  <c r="E37" i="14"/>
  <c r="C33" i="14"/>
  <c r="H22" i="14"/>
  <c r="J22" i="14" s="1"/>
  <c r="E22" i="14"/>
  <c r="J43" i="14"/>
  <c r="C53" i="11"/>
  <c r="C55" i="11"/>
  <c r="G52" i="11" l="1"/>
  <c r="I52" i="11"/>
  <c r="C5" i="11" s="1"/>
  <c r="E52" i="11"/>
  <c r="I55" i="11"/>
  <c r="G55" i="11"/>
  <c r="E55" i="11"/>
  <c r="G54" i="11"/>
  <c r="I54" i="11"/>
  <c r="G53" i="11"/>
  <c r="I53" i="11"/>
  <c r="E53" i="11"/>
  <c r="E54" i="11"/>
  <c r="E48" i="14"/>
  <c r="H48" i="14"/>
  <c r="J48" i="14" s="1"/>
  <c r="H33" i="14"/>
  <c r="J33" i="14" s="1"/>
  <c r="E33" i="14"/>
  <c r="F4" i="24" l="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<sst xmlns="http://schemas.openxmlformats.org/spreadsheetml/2006/main" count="2446" uniqueCount="802">
  <si>
    <t>Insurer</t>
  </si>
  <si>
    <t>Reporting Period</t>
  </si>
  <si>
    <t>Red highlighting indicates that there is no data where we would expected reported values.</t>
  </si>
  <si>
    <t>Insurance Category Code</t>
  </si>
  <si>
    <t>Red highlighting indicates member months do not match across tabs.</t>
  </si>
  <si>
    <t>Category</t>
  </si>
  <si>
    <t>Consistent?</t>
  </si>
  <si>
    <t>Total</t>
  </si>
  <si>
    <t>Medicare</t>
  </si>
  <si>
    <t>Medicaid</t>
  </si>
  <si>
    <t>Commercial (ICCs 3+4)</t>
  </si>
  <si>
    <t>Red highlighting indicates the reported PMPM is less than &lt;$10, potentially indicating an error.</t>
  </si>
  <si>
    <t>Claims: Hospital Inpatient</t>
  </si>
  <si>
    <t>Claims: Hospital Outpatient</t>
  </si>
  <si>
    <t>Claims: Professional, Primary Care</t>
  </si>
  <si>
    <t>Claims: Professional, Specialty</t>
  </si>
  <si>
    <t>Claims: Professional Other</t>
  </si>
  <si>
    <t>Claims: Pharmacy</t>
  </si>
  <si>
    <t>Claims:  Long-Term Care</t>
  </si>
  <si>
    <t>Claims: Other</t>
  </si>
  <si>
    <t>Total Non-Claims</t>
  </si>
  <si>
    <t>Source</t>
  </si>
  <si>
    <t>Member Months “Monthly MA Enrollment by State/County/Contract” report</t>
  </si>
  <si>
    <t>Expected Insurance Category Codes</t>
  </si>
  <si>
    <t>Medicare Managed Care</t>
  </si>
  <si>
    <t>Medicaid Managed Care</t>
  </si>
  <si>
    <t>Commercial Full Claims</t>
  </si>
  <si>
    <t>Commercial Partial Claims</t>
  </si>
  <si>
    <t>Medicare Exp. Duals</t>
  </si>
  <si>
    <t>Medicaid Exp. Duals</t>
  </si>
  <si>
    <t>Other</t>
  </si>
  <si>
    <t>X</t>
  </si>
  <si>
    <t>Medicare Managed Care Enrollment by State/County/Contract 
X 12</t>
  </si>
  <si>
    <t>This workbook contains the following tabs:</t>
  </si>
  <si>
    <t>Tab Name</t>
  </si>
  <si>
    <t>Mandatory Questions</t>
  </si>
  <si>
    <t>Definitions</t>
  </si>
  <si>
    <t>Reference Tables</t>
  </si>
  <si>
    <t>I verify that the information in this workbook is accurate.</t>
  </si>
  <si>
    <t>Contact Name:</t>
  </si>
  <si>
    <t>[Input Required]</t>
  </si>
  <si>
    <t>Contact Email:</t>
  </si>
  <si>
    <t>All questions in this tab must be answered.</t>
  </si>
  <si>
    <t>Questions</t>
  </si>
  <si>
    <t>Comments</t>
  </si>
  <si>
    <t>Does the clinical risk adjustment tool correspond to the market reported?</t>
  </si>
  <si>
    <t>Does the clinical risk adjustment tool use concurrent modeling?</t>
  </si>
  <si>
    <t>Does the clinical risk adjustment tool use truncation?</t>
  </si>
  <si>
    <t>Is the clinical adjustment tool based on all-encounter diagnosis-based inputs?</t>
  </si>
  <si>
    <t>Do the data represent members who receive, at a minimum, medical benefits?</t>
  </si>
  <si>
    <t>Are the data limited only to members for whom the insurer is primary on the claim?</t>
  </si>
  <si>
    <t>Do the TME data include allowed amounts?</t>
  </si>
  <si>
    <t>Do the TME data include all data for all attributed members for each month a member was attributed?</t>
  </si>
  <si>
    <t xml:space="preserve">How long was the claims runout period for claims payments? </t>
  </si>
  <si>
    <t xml:space="preserve">How long was the runout period for non-claims payments? </t>
  </si>
  <si>
    <t>Are IBNR/IBNP factors applied to the TME data?</t>
  </si>
  <si>
    <t>Is there anything else you would like us to know about the data you submitted?</t>
  </si>
  <si>
    <t>Black = Payer-reported data </t>
  </si>
  <si>
    <t>Period Beginning Date</t>
  </si>
  <si>
    <t>Period Ending Date</t>
  </si>
  <si>
    <t>Insurer Comments</t>
  </si>
  <si>
    <t>Clinical Risk Adjustment Tool</t>
  </si>
  <si>
    <t>Clinical Risk Adjustment Version</t>
  </si>
  <si>
    <t>"Doing Business As"</t>
  </si>
  <si>
    <t>A1</t>
  </si>
  <si>
    <t>A2</t>
  </si>
  <si>
    <t>A3</t>
  </si>
  <si>
    <t>A4</t>
  </si>
  <si>
    <t>A5</t>
  </si>
  <si>
    <t>A6</t>
  </si>
  <si>
    <t>A7</t>
  </si>
  <si>
    <t>A8</t>
  </si>
  <si>
    <t>A9</t>
  </si>
  <si>
    <t>A10</t>
  </si>
  <si>
    <t>A11</t>
  </si>
  <si>
    <t>A12</t>
  </si>
  <si>
    <t>A13</t>
  </si>
  <si>
    <t>A14</t>
  </si>
  <si>
    <t>A15</t>
  </si>
  <si>
    <t>A16</t>
  </si>
  <si>
    <t>A17</t>
  </si>
  <si>
    <t>A18</t>
  </si>
  <si>
    <t>A19</t>
  </si>
  <si>
    <t>A21</t>
  </si>
  <si>
    <t>Non-Claims: Recovery</t>
  </si>
  <si>
    <t>Non-Claims: Other</t>
  </si>
  <si>
    <t>TOTAL Non-Claims Expenses</t>
  </si>
  <si>
    <t>Member Months</t>
  </si>
  <si>
    <t>Market Enrollment Category Code</t>
  </si>
  <si>
    <t>Term</t>
  </si>
  <si>
    <t>Definition</t>
  </si>
  <si>
    <t>Member Months (annual)</t>
  </si>
  <si>
    <t>Clinical Risk Score</t>
  </si>
  <si>
    <t>The TME paid to hospitals for outpatient services generated from claims.  Includes all hospital types and includes payments made for hospital-licensed satellite clinics.  Includes emergency room services not resulting in admittance.  Includes observation services.  Does not include payments made for physician services provided on an outpatient basis that have been billed directly by a physician group practice or an individual physician.</t>
  </si>
  <si>
    <t>Claims: Long-Term Care</t>
  </si>
  <si>
    <t>Insurer TME Data Specifications
Reference Tables</t>
  </si>
  <si>
    <t>Insurers' TME Filing Schedule Date</t>
  </si>
  <si>
    <t>Files Due</t>
  </si>
  <si>
    <t>Commercial - Full Claims</t>
  </si>
  <si>
    <t>Medicare Expenditures for Medicare/Medicaid Dual Eligibles</t>
  </si>
  <si>
    <t>Medicaid Expenditures and Medicaid Dual Eligibles</t>
  </si>
  <si>
    <t>Individual</t>
  </si>
  <si>
    <t>Large group, fully insured</t>
  </si>
  <si>
    <t>Small group, fully insured</t>
  </si>
  <si>
    <t>Self-insured</t>
  </si>
  <si>
    <t>Student Market</t>
  </si>
  <si>
    <t>Medicaid/CHIP Managed Care</t>
  </si>
  <si>
    <t>Medicare/Medicaid Duals</t>
  </si>
  <si>
    <t>Clinical Risk Adjustment Methodology</t>
  </si>
  <si>
    <t>Non-Claims: Prospective Capitated, Prospective Global Budget, Prospective Case Rate, or Prospective Episode-Based Payments</t>
  </si>
  <si>
    <t>Non-Claims: Performance Incentive Payments</t>
  </si>
  <si>
    <t>Non-Claims: Payments to Support Population Health and Practice Infrastructure</t>
  </si>
  <si>
    <t>Non-Claims: Provider Salaries</t>
  </si>
  <si>
    <t>A22</t>
  </si>
  <si>
    <t>A23</t>
  </si>
  <si>
    <t>Trend</t>
  </si>
  <si>
    <t>Service Category</t>
  </si>
  <si>
    <t>Red highlighting indicates a percentage change of greater than 10%.</t>
  </si>
  <si>
    <t>Total, Gross of Rebates</t>
  </si>
  <si>
    <t>Total, Net of Rebates</t>
  </si>
  <si>
    <t>Table 1: Member Months by Market</t>
  </si>
  <si>
    <t>Market</t>
  </si>
  <si>
    <t>Medicaid &amp; CHIP - Total</t>
  </si>
  <si>
    <t>Commercial - Total</t>
  </si>
  <si>
    <t>Medicare - Total</t>
  </si>
  <si>
    <t>A20</t>
  </si>
  <si>
    <t>Claims: Pharmacy (Gross of Rebates)</t>
  </si>
  <si>
    <t>Commercial - Partial Claims</t>
  </si>
  <si>
    <t>Claims: Pharmacy (Net of Rebates)</t>
  </si>
  <si>
    <t>Total Non-claims Spending</t>
  </si>
  <si>
    <t>Table 6: Commercial - Total TME Trends PMPM</t>
  </si>
  <si>
    <t>Table 7: Commercial - Full Claims (ICC 3) TME Trends PMPM</t>
  </si>
  <si>
    <t>Table 8: Commercial - Partial Claims (ICC 4) TME Trends PMPM</t>
  </si>
  <si>
    <t>Table 9: Medicaid &amp; CHIP - Total TME Trends PMPM</t>
  </si>
  <si>
    <t>Table 12: Medicare - Total TME Trends PMPM</t>
  </si>
  <si>
    <t>Table 14: Medicare Expenditures for Medicare/Medicaid Dual Eligibles (ICC 5) TME Trends PMPM</t>
  </si>
  <si>
    <t>Validation by Market</t>
  </si>
  <si>
    <t>No</t>
  </si>
  <si>
    <t>Consistency of Clinical Risk Adjustment Tool</t>
  </si>
  <si>
    <t>Reported Dates</t>
  </si>
  <si>
    <t>Responses to Mandatory Questions</t>
  </si>
  <si>
    <t>Question</t>
  </si>
  <si>
    <t>Red highlighting indicates a response that deviates from the answer we would expect to receive.</t>
  </si>
  <si>
    <t>Expected Answer</t>
  </si>
  <si>
    <t>Yes</t>
  </si>
  <si>
    <t>At least 120 days</t>
  </si>
  <si>
    <t>At least 180 days</t>
  </si>
  <si>
    <t>Income from Fees of Uninsured Plans</t>
  </si>
  <si>
    <t>Table 1: Commercial - Total TME Service Category Trends PMPM</t>
  </si>
  <si>
    <t>Table 2: Commercial - Full Claims (ICC 3) TME Service Category Trends PMPM</t>
  </si>
  <si>
    <t>Table 3: Commercial - Partial Claims (ICC 4) TME Service Category Trends PMPM</t>
  </si>
  <si>
    <t>Table 4: Medicaid &amp; CHIP - Total TME Service Category Trends PMPM</t>
  </si>
  <si>
    <t>Table 7: Medicare - Total TME Service Category Trends PMPM</t>
  </si>
  <si>
    <t>Table 9: Medicare Expenditures for Medicare/Medicaid Dual Eligibles (ICC 5) TME Service Category Trends PMPM</t>
  </si>
  <si>
    <t>All TME data from claims to providers for: (1) nursing homes and skilled nursing facilities; (2) intermediate care facilities for individuals with intellectual disability (ICF/ID) and assisted living facilities; and (3) providers of home- and community-based services, including personal care (e.g., assistance with dressing, bathing, eating, etc.), homemaker and chore services, home-delivered meal programs, home health services, adult daycare, self-directed personal assistance services (e.g., assistance with grocery shopping, etc.), and programs designed to assist individuals with long-term care needs who receive care in their home and community, such as PACE and Money Follows the Person.  Does not include payments made for professional services rendered during a facility stay that have been billed directly by a physician group practice or an individual practitioner.</t>
  </si>
  <si>
    <t>Are TME data submitted based on the incurred date/date of service?</t>
  </si>
  <si>
    <t>Required Data Entry?</t>
  </si>
  <si>
    <t>B1</t>
  </si>
  <si>
    <t>B2</t>
  </si>
  <si>
    <t>Org ID</t>
  </si>
  <si>
    <t>Insurers must answer questions on their data submission to ensure the submission is in alignment with the specifications outlined in the Implementation Manual.</t>
  </si>
  <si>
    <t>Tab Purpose</t>
  </si>
  <si>
    <t>This tab provides several reference tables to aid insurers in their data submission.  Please refer to this tab, or the Implementation Manual, if you have any questions on what to submit in this template. 
Insurers are not required to input any data in this tab.</t>
  </si>
  <si>
    <t>Commercial</t>
  </si>
  <si>
    <t>CY 2019 Final and CY 2020 Estimated TME</t>
  </si>
  <si>
    <t>CY 2020 Final and CY 2021 Estimated TME</t>
  </si>
  <si>
    <t>CY 2021 Final and CY 2022 Estimated TME</t>
  </si>
  <si>
    <t>Blackstone Valley Community Health Care</t>
  </si>
  <si>
    <t>Integra Community Care Network</t>
  </si>
  <si>
    <t>Lifespan</t>
  </si>
  <si>
    <t>Providence Community Health Centers</t>
  </si>
  <si>
    <t>Prospect CharterCARE</t>
  </si>
  <si>
    <t>Members Not Attributed to an ACO/AE</t>
  </si>
  <si>
    <t>Blue Cross Blue Shield of RI</t>
  </si>
  <si>
    <t>Neighborhood Health Plan of RI</t>
  </si>
  <si>
    <t>Tufts Health Plan</t>
  </si>
  <si>
    <t>UnitedHealthcare</t>
  </si>
  <si>
    <t>Blue Cross Blue Shield of MA</t>
  </si>
  <si>
    <t>Medicare &amp; Medicare Managed Care (excluding Medicare/Medicaid Dual Eligibles)</t>
  </si>
  <si>
    <t>Medicaid &amp; Medicaid Managed Care including CHIP (excluding Medicare/Medicaid Dual Eligibles)</t>
  </si>
  <si>
    <t>Medicare/Medicaid Integrated Duals Product (as of CY 2019 this applies only to the NHP Integrity Product)</t>
  </si>
  <si>
    <t>Rhode Island</t>
  </si>
  <si>
    <t>Blue = OHIC-calculated data </t>
  </si>
  <si>
    <t>Insurer Organization ID</t>
  </si>
  <si>
    <t>Claims: Professional, Specialty Care</t>
  </si>
  <si>
    <t>Claims: Retail Pharmacy</t>
  </si>
  <si>
    <t>Non-Claims: Recoveries</t>
  </si>
  <si>
    <t>Retail Pharmacy Rebates</t>
  </si>
  <si>
    <t>Medical Pharmacy Rebates</t>
  </si>
  <si>
    <t>Insurance carriers with self-insured lines of business must provide total premiums received for self-insured accounts  (in aggregate).  Please follow the instructions from the National Association of Insurance Commissioners (NAIC) Supplemental Health Care Exhibit (SHCE), Part 1, Line 12, Income from Fees of Uninsured Plans.  This information is separately requested because it is not typically reported in the SHCE filed with OHIC, but is necessary to calculate the Net Cost of Private Health Insurance (NCPHI).</t>
  </si>
  <si>
    <t>Coastal Medical</t>
  </si>
  <si>
    <t>Integrated Healthcare Partners</t>
  </si>
  <si>
    <t>Female</t>
  </si>
  <si>
    <t>Male</t>
  </si>
  <si>
    <t>Total Spending After Applying Truncation at the Member Level</t>
  </si>
  <si>
    <t>Total Dollars Excluded from Spending After Applying Truncation at the Member Level</t>
  </si>
  <si>
    <t>Validation by ACO/AE</t>
  </si>
  <si>
    <t>Medicaid &amp; Medicaid Managed Care, Incl. CHIP</t>
  </si>
  <si>
    <t>Medicare &amp; Medicare Managed Care</t>
  </si>
  <si>
    <t>Medicare/Medicaid Integrated Duals Product</t>
  </si>
  <si>
    <t>Table 10: Medicaid &amp; Medicaid Managed Care, Incl. CHIP (ICC 2) TME Trends PMPM</t>
  </si>
  <si>
    <t>Table 11: Medicaid Expenditures &amp; Medicaid Dual Eligibles (ICC 6) TME Trends PMPM</t>
  </si>
  <si>
    <t>Table 13: Medicare &amp; Medicare Managed Care (ICC 1) TME Trends PMPM</t>
  </si>
  <si>
    <t>Table 15: Medicare/Medicaid Integrated Duals Product (ICC 7) TME Trends PMPM</t>
  </si>
  <si>
    <t>Table 5: Medicaid &amp; Medicaid Managed Care, Incl. CHIP (ICC 2) TME Service Category Trends PMPM</t>
  </si>
  <si>
    <t>Table 6: Medicaid Expenditures and Medicaid Dual Eligibles (ICC 6) TME Service Category Trends PMPM</t>
  </si>
  <si>
    <t>Table 8: Medicare &amp; Medicare Managed Care (ICC 1) TME Service Category Trends PMPM</t>
  </si>
  <si>
    <t>Table 10: Medicare/Medicaid Integrated Duals Product (ICC 7) TME Service Category Trends PMPM</t>
  </si>
  <si>
    <t>Rhode Island Insurer TME Data Specifications
Mandatory Questions</t>
  </si>
  <si>
    <t>Medicaid Managed Care Member Months HAS</t>
  </si>
  <si>
    <t>Medicaid Managed Care Unadjusted Claims TME HAS</t>
  </si>
  <si>
    <t>2+6</t>
  </si>
  <si>
    <t>Do the clinical risk scores reflect only Rhode Island residents for each Insurance Category code?</t>
  </si>
  <si>
    <t>Are members attributed to ACOs/AEs consistent with each contract?</t>
  </si>
  <si>
    <t>Medicare Managed Care Member Months 
(ICC 1)</t>
  </si>
  <si>
    <t>Medicare Managed Care Total Expenses
(ICC 1)</t>
  </si>
  <si>
    <t>Medicaid Managed Care Total Expenses
(ICC 2)</t>
  </si>
  <si>
    <t>Commercial Full Claims Member Months
(ICC 3)</t>
  </si>
  <si>
    <t>Commercial Full Claims Total Expenses
(ICC 3)</t>
  </si>
  <si>
    <t>Commercial Partial Claims Member Months
(ICC 4)</t>
  </si>
  <si>
    <t>Commercial Partial Claims Total Expenses
 (ICC 4)</t>
  </si>
  <si>
    <t>Duals Member Months
(ICC 5 + 6)</t>
  </si>
  <si>
    <t>Duals Total Expenses
 (ICC 5 + 6)</t>
  </si>
  <si>
    <t>Integrated Duals Member Months
(ICC 7)</t>
  </si>
  <si>
    <t>Integrated Duals Total Expenses
(ICC 7)</t>
  </si>
  <si>
    <t>Data Field</t>
  </si>
  <si>
    <t>Percent Change</t>
  </si>
  <si>
    <t>Black = payer-reported data</t>
  </si>
  <si>
    <t>Total Member Months by Age/Sex Band</t>
  </si>
  <si>
    <t>7 (NHP Only)</t>
  </si>
  <si>
    <t>Individual Commercial Member Months from SHCE</t>
  </si>
  <si>
    <t>Large Group Commercial Member Months from SHCE</t>
  </si>
  <si>
    <t>Small Group Commercial Member Months from SHCE</t>
  </si>
  <si>
    <t>Self-Insured Commercial Member Months from SHCE</t>
  </si>
  <si>
    <t>Medicare Managed Care + Medicare Duals Member Months from SHCE</t>
  </si>
  <si>
    <t>Medicaid/CHIP Managed Care + Medicare Duals Member Months from SHCE</t>
  </si>
  <si>
    <t>906 + 908</t>
  </si>
  <si>
    <t>907 + 908</t>
  </si>
  <si>
    <t>Duals (ICCs 5+6+7)</t>
  </si>
  <si>
    <t xml:space="preserve">Is truncation applied at the member level?  </t>
  </si>
  <si>
    <t xml:space="preserve">If reporting ICC 4, was the spending adjusted prior to truncation? </t>
  </si>
  <si>
    <t xml:space="preserve">Is the answer the expected answer? </t>
  </si>
  <si>
    <t>Medicaid Managed Care Member Months Health Annual Statement (HAS) - from Chaz</t>
  </si>
  <si>
    <t>Medicaid Managed Care Unadjusted Claims TME Health Annual Statement (HAS) - from Chaz</t>
  </si>
  <si>
    <t>Total Spending before Truncation is Applied</t>
  </si>
  <si>
    <t>Individual Commercial Member Months from the Supplemental Health Care Exhibit (SHCE)</t>
  </si>
  <si>
    <t>Large Group Commercial Member Months from the Supplemental Health Care Exhibit (SHCE)</t>
  </si>
  <si>
    <t>Small Group Commercial Member Months from the Supplemental Health Care Exhibit (SHCE)</t>
  </si>
  <si>
    <t>Self-Insured Commercial Member Months from the Supplemental Health Care Exhibit (SHCE)</t>
  </si>
  <si>
    <t>Medicare Managed Care  + Medicare Duals Member Months from the Supplemental Health Care Exhibit (SHCE)</t>
  </si>
  <si>
    <t>Medicaid/CHIP Managed Care + Duals Member Months from the Supplemental Health Care Exhibit (SHCE)</t>
  </si>
  <si>
    <t>Medicaid Managed Care Member Months
(ICC 2)</t>
  </si>
  <si>
    <t>Count of Members Whose Spending was Truncated</t>
  </si>
  <si>
    <t>Total Pharmacy Rebates</t>
  </si>
  <si>
    <t>ACO/AE or Insurer Organization ID</t>
  </si>
  <si>
    <t>Total (Unadjusted, Net of Total Rebates)</t>
  </si>
  <si>
    <t>Claims: Pharmacy (Gross of Retail Pharmacy Rebates)</t>
  </si>
  <si>
    <t>Claims: Pharmacy (Net of Retail Pharmacy Rebates)</t>
  </si>
  <si>
    <t>ACO/AE Organization ID</t>
  </si>
  <si>
    <t>The TME paid to hospitals for inpatient services generated from claims.  Includes all room and board and ancillary payments.  Includes all hospital types.  Includes payments for emergency room services when the member is admitted to the hospital, in accordance with the specific payer’s payment rules.  Does not include payments made for observation services.  Does not include payments made for physician services provided during an inpatient stay that have been billed directly by a physician group practice or an individual physician.  Does not include inpatient services at non-hospital facilities.</t>
  </si>
  <si>
    <t>The TME paid to physicians or physician group practices generated from claims.  Includes services provided by a doctors of medicine or osteopathy in clinical areas other than the family practice, geriatric, internal medicine and pediatric providers described above, not defined by the health plan as a PCP.</t>
  </si>
  <si>
    <t>The TME paid from claims to health care providers for services provided by a licensed practitioner other than a physician or identified as a PCP.  This includes, but is not limited to, licensed podiatrists, nurse practitioners, physician assistants, physical therapists, occupational therapists, speech therapists, psychologists, licensed clinical social workers, counselors, dieticians, dentists, chiropractors and any professional fees that do not fit other categories.   It also includes services delivered through third-party telehealth vendors contracted directly through the health plan to offer a subset of services.</t>
  </si>
  <si>
    <t>All TME paid from claims to health care providers for medical services not otherwise included in other categories.  Includes, but is not limited to durable medical equipment, freestanding fees of community health center services, free standing ambulatory surgical center services, hospice facility, freestanding diagnostic facility services, hospice, hearing aid services and optical services.  It also includes the cost of vaccines administered in the primary care setting.  Payments made to members for direct reimbursement of health care benefits/services may be reported in “Claims: Other” if the insurer is unable to classify the service.  If this is the case, the insurer should consult with OHIC about the appropriate placement of the service prior to categorizing it as “Claims: Other.”  However, TME data for non-health care benefits/services, such as fitness club reimbursements, are not to be reported in any category.  Payments for fitness club membership discounts whether given to the provider or given in the form of a capitated payment to an organization that assists the insurer with enrolling members in gyms is not a valid payment to include.</t>
  </si>
  <si>
    <t>All non-claims based payments for services delivered under the following payment arrangements: (1) capitation payments, i.e., per capita payments to providers to provide healthcare services over a defined period of time;  (2) global budget payments, i.e., prospective payments made to providers for a comprehensive set of services for a designated patient population or a more narrowly defined set of services where certain benefits (e.g., behavioral health, pharmacy) are carved out;  (3) case rate payments, i.e., prospective payments made to providers in a given provider organization for a patient receiving a defined set of services for a specific period of time and (4) prospective episode-based payments, i.e., payments received by providers (which can span multiple provider organizations) for a patient receiving a defined set of services for a specific condition across a continuum of care, or care for a specific condition over a specific time period.</t>
  </si>
  <si>
    <t>All payments to reward providers for achieving quality or cost-savings goals, or payments received by providers that may be reduced if costs exceed a defined pre-determined, risk-adjusted target.  Includes pay-for-performance, i.e., payments to reward providers for achieving a set target (absolute, relative or improvement-based) for quality or efficiency metrics, and pay-for-reporting, i.e., payments to providers for reporting on a set of quality or efficiency metrics, usually to build capacity for pay-for-performance, payments.  Includes shared savings distributions, i.e., payments received by providers if costs of services are below a pre-determined, risk-adjusted target, and shared risk recoupments, i.e., payments providers must recoup if costs of services are above a pre-determined, risk-adjusted target.</t>
  </si>
  <si>
    <t xml:space="preserve">All payments made to develop provider capacity and practice infrastructure to help coordinate care, improve quality and control costs.  Includes, but is not limited to payments that support care management, care coordination and population health;   EHR/HIT infrastructure payments and other data analytics payments ; HIE payments ; patient-centered medical home (PCMH) administration payments ; PCMH recognition payments  and behavioral health integration that are not reimbursable through claims. </t>
  </si>
  <si>
    <t>All payments for salaries of providers who provide health care services not otherwise included in other claims and non-claims categories.  This category is typically only applicable to closed delivery systems.</t>
  </si>
  <si>
    <t>The number of unique Rhode Island resident members for the age/sex cell participating in a plan each month with a medical benefit, regardless of whether the member has any paid claims.  Member months should be calculated by summing the number of months each member was enrolled in a plan with a medical benefit for one calendar year.  The age of the member should be determined as of January 1st of the calendar year.</t>
  </si>
  <si>
    <t>Total Spending Before Truncation is Applied</t>
  </si>
  <si>
    <t>Report the number of members whose spending was above the truncation threshold applicable to the Insurance Category Code and ACO/AE to which the member was attributed.  This variable is not needed at the age/sex level, just the total level for each ICC and ACO/AE.</t>
  </si>
  <si>
    <t>Per Member Truncation Point</t>
  </si>
  <si>
    <t>Consult with OHIC before determining a truncation point.</t>
  </si>
  <si>
    <r>
      <t xml:space="preserve">The sum of all dollars that were removed from total spending after applying truncation at the member level.  </t>
    </r>
    <r>
      <rPr>
        <i/>
        <sz val="11"/>
        <color theme="1"/>
        <rFont val="Calibri"/>
        <family val="2"/>
        <scheme val="minor"/>
      </rPr>
      <t>Validation check: the sum of all age/sex bands for this variable within one Insurance Category Code should equal the difference between Total Spending before Truncation is Applied and Total Spending After Applying Truncation at the Member Level.</t>
    </r>
  </si>
  <si>
    <t>A number that indicates the insurance category that pharmacy rebates are being reported on.  Use the applicable Insurance Category Code as defined previously in the ACO/AE Record File (not all Insurance Category Codes may be applicable to pharmacy rebates).</t>
  </si>
  <si>
    <t>The estimated value of rebates attributed to Rhode Island resident members provided by pharmaceutical manufacturers for prescription drugs with specified dates of fill, corresponding to the reporting period excluding manufacturer-provided fair market value bona fide service fees for retail prescription drugs. 
This amount shall include pharmacy benefit manager (PBM) rebate guarantee amounts and any additional rebate amounts transferred by the PBM.</t>
  </si>
  <si>
    <t>The estimated value of rebates attributed to Rhode Island resident members provided by pharmaceutical manufacturers for prescription drugs with specified dates of fill corresponding with the reporting period, excluding manufacturer-provided fair maker value bona fide service fees for pharmaceuticals that are paid for under the member’s medical benefit.  These drugs may be included in the professional claims category with J codes or part of facility feeds for drug infusions administered in the outpatient setting.
This amount shall include pharmacy benefit manager (PBM) rebate guarantee amounts and any additional rebate amounts transferred by the PBM.
If data submitters are unable to separate out retail and medical pharmacy rebates for reporting, all pharmacy rebates should be reported in aggregate in the Total Pharmacy Rebate field.
Total rebates should be reported without regard to how they are paid to the insurer (e.g., through regular aggregate payments, on a claims-by-claim basis, etc.) or whether they are passed on to an employer.  The only exception is for Medicaid managed care payers who should not report pharmacy rebates that are passed to the state.  They should only report those rebates above and beyond the state negotiated rebates.
Payers should apply IBNR factors to preliminary prescription drug rebate data to estimate total anticipated rebates related to fill dates in the calendar year for which reporting will be done.  If insurers are unable to report rebates specifically for Rhode Island residents, insurers should report estimated rebates attributed to Rhode Island resident members in a proportion equal to the proportion of pharmacy spending for Rhode Island resident members compared to pharmacy spending for total members, by line of business.  For example, if Rhode Island resident commercial member spending represent 10% of an insurer’s total commercial members, then 10% of the total pharmacy rebates for its commercial book of business should be reported.  If the insurer is unable to identify the percentage of pharmacy spending for Rhode Island resident members, then the insurer should calculate the pharmacy rebates attributable to Rhode Island resident members using percentage of membership.  This value should always be reported as a negative number.</t>
  </si>
  <si>
    <t xml:space="preserve">The sum of retail pharmacy rebates and medical pharmacy rebates. </t>
  </si>
  <si>
    <t>ACO/AE or Insurer Carrier Organization ID</t>
  </si>
  <si>
    <t>The OHIC-assigned organizational ID of the ACO/AE or insurance carrier submitting the file, as outlined in the "Reference Tables" tab.  For TME data for members who are unattributed to an ACO/AE, their data are to be reported in aggregate as “Members Not Attributed to an ACO/AE (ACO/AE Organization ID Number 999).”</t>
  </si>
  <si>
    <t>Notes or Restrictions</t>
  </si>
  <si>
    <t>208D00000X</t>
  </si>
  <si>
    <t>General Practice</t>
  </si>
  <si>
    <t>207Q00000X</t>
  </si>
  <si>
    <t>Family Medicine</t>
  </si>
  <si>
    <t>207QA0000X</t>
  </si>
  <si>
    <t>Family Medicine, Adolescent Medicine</t>
  </si>
  <si>
    <t>207QA0505X</t>
  </si>
  <si>
    <t>Family Medicine, Adult Medicine</t>
  </si>
  <si>
    <t>207QG0300X</t>
  </si>
  <si>
    <t>Family Medicine, Geriatric Medicine</t>
  </si>
  <si>
    <t>207QH0002X</t>
  </si>
  <si>
    <t xml:space="preserve">Family Medicine, Hospice Palliative </t>
  </si>
  <si>
    <t>Restrict to only home health and hospice procedure codes</t>
  </si>
  <si>
    <t>208000000X</t>
  </si>
  <si>
    <t>Pediatrics</t>
  </si>
  <si>
    <t>2080A0000X</t>
  </si>
  <si>
    <t>Pediatrics, Adolescent Medicine</t>
  </si>
  <si>
    <t>2080H0002X</t>
  </si>
  <si>
    <t>Pediatrics, Hospice and Palliative Medicine</t>
  </si>
  <si>
    <t>207R00000X</t>
  </si>
  <si>
    <t>Internal Medicine</t>
  </si>
  <si>
    <t>207RG0300X</t>
  </si>
  <si>
    <t>Internal Medicine, Geriatric Medicine</t>
  </si>
  <si>
    <t>207RA0000X</t>
  </si>
  <si>
    <t>Internal Medicine, Adolescent Medicine</t>
  </si>
  <si>
    <t>207RH0002X</t>
  </si>
  <si>
    <t>Internal Medicine, Hospice and Palliative Medicine</t>
  </si>
  <si>
    <t>363A00000X</t>
  </si>
  <si>
    <t>Physician Assistant</t>
  </si>
  <si>
    <t>363AM0700X</t>
  </si>
  <si>
    <t>Physician Assistant, Medical</t>
  </si>
  <si>
    <t>363L00000X</t>
  </si>
  <si>
    <t>Nurse Practitioner</t>
  </si>
  <si>
    <t>363LA2200X</t>
  </si>
  <si>
    <t>Nurse Practitioner, Adult Health</t>
  </si>
  <si>
    <t>363LF0000X</t>
  </si>
  <si>
    <t>Nurse Practitioner, Family</t>
  </si>
  <si>
    <t>363LG0600X</t>
  </si>
  <si>
    <t>Nurse Practitioner, Gerontology</t>
  </si>
  <si>
    <t>363LP0200X</t>
  </si>
  <si>
    <t>Nurse Practitioner, Pediatrics</t>
  </si>
  <si>
    <t>363LP2300X</t>
  </si>
  <si>
    <t>Nurse Practitioner, Primary Care</t>
  </si>
  <si>
    <t>363LC1500X</t>
  </si>
  <si>
    <t>Nurse Practitioner, Community Health</t>
  </si>
  <si>
    <t>363LS0200X</t>
  </si>
  <si>
    <t>Nurse Practitioner, School</t>
  </si>
  <si>
    <t>261QF0400X</t>
  </si>
  <si>
    <t>Federally Qualified Health Center (FQHC)</t>
  </si>
  <si>
    <t>Restrict on revenue codes for clinic and professional services 0510, 0515, 0517, 0520, 0521, 0523, 0960, 0983</t>
  </si>
  <si>
    <t>Taxonomy Code Description</t>
  </si>
  <si>
    <t>Primary Care Procedure Code</t>
  </si>
  <si>
    <t>Procedure Code Description</t>
  </si>
  <si>
    <t>Reporting Procedure Category</t>
  </si>
  <si>
    <t>OFFICE OUTPATIENT NEW 20 MINUTES (Office or other outpatient visit for the evaluation and management of a new patient, which requires a medically appropriate history and/or examination and straightforward medical decision making. When using time for code selection, 15-29 minutes of total time is spent on the date of the encounter.)</t>
  </si>
  <si>
    <t>Office Visits</t>
  </si>
  <si>
    <t>OFFICE OUTPATIENT NEW 30 MINUTES (Office or other outpatient visit for the evaluation and management of a new patient, which requires a medically appropriate history and/or examination and low level of medical decision making. When using time for code selection, 30-44 minutes of total time is spent on the date of the encounter.)</t>
  </si>
  <si>
    <t>OFFICE OUTPATIENT NEW 45 MINUTES (Office or other outpatient visit for the evaluation and management of a new patient, which requires a medically appropriate history and/or examination and moderate level of medical decision making. When using time for code selection, 45-59 minutes of total time is spent on the date of the encounter.)</t>
  </si>
  <si>
    <t>OFFICE OUTPATIENT NEW 60 MINUTES (Office or other outpatient visit for the evaluation and management of a new patient, which requires a medically appropriate history and/or examination and high level of medical decision making. When using time for code selection, 60-74 minutes of total time is spent on the date of the encounter. (For services 75 minutes or longer, see Prolonged Services 99417))</t>
  </si>
  <si>
    <t>OFFICE OUTPATIENT VISIT 10 MINUTES (Office or other outpatient visit for the evaluation and management of an established patient, which requires a medically appropriate history and/or examination and straightforward medical decision making. When using time for code selection, 10-19 minutes of total time is spent on the date of the encounter.)</t>
  </si>
  <si>
    <t>OFFICE OUTPATIENT VISIT 15 MINUTES (Office or other outpatient visit for the evaluation and management of an established patient, which requires a medically appropriate history and/or examination and low level of medical decision making. When using time for code selection, 20-29 minutes of total time is spent on the date of the encounter.)</t>
  </si>
  <si>
    <t>OFFICE OUTPATIENT VISIT 25 MINUTES (Office or other outpatient visit for the evaluation and management of an established patient, which requires a medically appropriate history and/or examination and moderate level of medical decision making. When using time for code selection, 30-39 minutes of total time is spent on the date of the encounter.)</t>
  </si>
  <si>
    <t>OFFICE OUTPATIENT VISIT 40 MINUTES (Office or other outpatient visit for the evaluation and management of an established patient, which requires a medically appropriate history and/or examination and high level of medical decision making. When using time for code selection, 40-54 minutes of total time is spent on the date of the encounter. (For services 55 minutes or longer, see Prolonged Services 99417).)</t>
  </si>
  <si>
    <t>INITIAL PREVENTIVE MEDICINE NEW PATIENT &lt;1YEAR</t>
  </si>
  <si>
    <t>Preventive Medicine Visits</t>
  </si>
  <si>
    <t>INITIAL PREVENTIVE MEDICINE NEW PT AGE 1-4 YRS</t>
  </si>
  <si>
    <t>INITIAL PREVENTIVE MEDICINE NEW PT AGE 5-11 YRS</t>
  </si>
  <si>
    <t>INITIAL PREVENTIVE MEDICINE NEW PT AGE 12-17 YR</t>
  </si>
  <si>
    <t>INITIAL PREVENTIVE MEDICINE NEW PT AGE 18-39YRS</t>
  </si>
  <si>
    <t>INITIAL PREVENTIVE MEDICINE NEW PATIENT 40-64YRS</t>
  </si>
  <si>
    <t>INITIAL PREVENTIVE MEDICINE NEW PATIENT 65YRS&amp;&gt;</t>
  </si>
  <si>
    <t>PERIODIC PREVENTIVE MED ESTABLISHED PATIENT &lt;1Y</t>
  </si>
  <si>
    <t>PERIODIC PREVENTIVE MED EST PATIENT 1-4YRS</t>
  </si>
  <si>
    <t>PERIODIC PREVENTIVE MED EST PATIENT 5-11YRS</t>
  </si>
  <si>
    <t>PERIODIC PREVENTIVE MED EST PATIENT 12-17YRS</t>
  </si>
  <si>
    <t>PERIODIC PREVENTIVE MED EST PATIENT 18-39 YRS</t>
  </si>
  <si>
    <t>PERIODIC PREVENTIVE MED EST PATIENT 40-64YRS</t>
  </si>
  <si>
    <t>PERIODIC PREVENTIVE MED EST PATIENT 65YRS&amp; OLDER</t>
  </si>
  <si>
    <t>OFFICE CONSULTATION NEW/ESTAB PATIENT 15 MIN</t>
  </si>
  <si>
    <t>Consultation Services</t>
  </si>
  <si>
    <t>OFFICE CONSULTATION NEW/ESTAB PATIENT 30 MIN</t>
  </si>
  <si>
    <t>OFFICE CONSULTATION NEW/ESTAB PATIENT 40 MIN</t>
  </si>
  <si>
    <t>OFFICE CONSULTATION NEW/ESTAB PATIENT 60 MIN</t>
  </si>
  <si>
    <t>OFFICE CONSULTATION NEW/ESTAB PATIENT LEVEL 5</t>
  </si>
  <si>
    <t>G0466</t>
  </si>
  <si>
    <t>FEDERALLY QUALIFIED HEALTH CENTER VISIT NEW PT</t>
  </si>
  <si>
    <t>HCPC Visit Codes</t>
  </si>
  <si>
    <t>G0467</t>
  </si>
  <si>
    <t>FEDERALLY QUALIFIED HEALTH CENTER VISIT ESTAB PT</t>
  </si>
  <si>
    <t>G0468</t>
  </si>
  <si>
    <t>FEDERALLY QUALIFIED HEALTH CENTER VISIT IPPE/AWV</t>
  </si>
  <si>
    <t>T1015</t>
  </si>
  <si>
    <t>CLINIC VISIT/ENCOUNTER ALL-INCLUSIVE</t>
  </si>
  <si>
    <t>S9117</t>
  </si>
  <si>
    <t>BACK SCHOOL VISIT</t>
  </si>
  <si>
    <t>G0402</t>
  </si>
  <si>
    <t>INIT PREV PE LTD NEW BENEF DUR 1ST 12 MOS MCR</t>
  </si>
  <si>
    <t>G0438</t>
  </si>
  <si>
    <t>ANNUAL WELLNESS VISIT; PERSONALIZ PPS INIT VISIT</t>
  </si>
  <si>
    <t>G0439</t>
  </si>
  <si>
    <t>ANNUAL WELLNESS VST; PERSONALIZED PPS SUBSQT VST</t>
  </si>
  <si>
    <t>G0463</t>
  </si>
  <si>
    <t>HOSPITAL OUTPATIENT CLIN VISIT ASSESS &amp; MGMT PT</t>
  </si>
  <si>
    <t>PREVENT MED COUNSEL&amp;/RISK FACTOR REDJ SPX 15 MIN</t>
  </si>
  <si>
    <t>Preventive Medicine Services</t>
  </si>
  <si>
    <t>PREVENT MED COUNSEL&amp;/RISK FACTOR REDJ SPX 30 MIN</t>
  </si>
  <si>
    <t>PREVENT MED COUNSEL&amp;/RISK FACTOR REDJ SPX 45 MIN</t>
  </si>
  <si>
    <t>PREVENT MED COUNSEL&amp;/RISK FACTOR REDJ SPX 60 MIN</t>
  </si>
  <si>
    <t>TOBACCO USE CESSATION INTERMEDIATE 3-10 MINUTES</t>
  </si>
  <si>
    <t>TOBACCO USE CESSATION INTENSIVE &gt;10 MINUTES</t>
  </si>
  <si>
    <t>ALCOHOL/SUBSTANCE SCREEN &amp; INTERVEN 15-30 MIN</t>
  </si>
  <si>
    <t>ALCOHOL/SUBSTANCE SCREEN &amp; INTERVENTION &gt;30 MIN</t>
  </si>
  <si>
    <t>PREV MED COUNSEL &amp; RISK FACTOR REDJ GRP SPX 30 M</t>
  </si>
  <si>
    <t>PREV MED COUNSEL &amp; RISK FACTOR REDJ GRP SPX 60 M</t>
  </si>
  <si>
    <t>ADMN &amp; INTERPJ HEALTH RISK ASSESSMENT INSTRUMENT</t>
  </si>
  <si>
    <t>UNLISTED PREVENTIVE MEDICINE SERVICE</t>
  </si>
  <si>
    <t>HOME VISIT NEW PATIENT LOW SEVERITY 20 MINUTES</t>
  </si>
  <si>
    <t>Home Visits</t>
  </si>
  <si>
    <t>HOME VISIT NEW PATIENT MOD SEVERITY 30 MINUTES</t>
  </si>
  <si>
    <t>HOME VST NEW PATIENT MOD-HI SEVERITY 45 MINUTES</t>
  </si>
  <si>
    <t>HOME VISIT NEW PATIENT HI SEVERITY 60 MINUTES</t>
  </si>
  <si>
    <t>HOME VISIT NEW PT UNSTABL/SIGNIF NEW PROB 75 MIN</t>
  </si>
  <si>
    <t>HOME VISIT EST PT SELF LIMITED/MINOR 15 MINUTES</t>
  </si>
  <si>
    <t>HOME VISIT EST PT LOW-MOD SEVERITY 25 MINUTES</t>
  </si>
  <si>
    <t>HOME VISIT EST PT MOD-HI SEVERITY 40 MINUTES</t>
  </si>
  <si>
    <t>HOME VST EST PT UNSTABLE/SIGNIF NEW PROB 60 MINS</t>
  </si>
  <si>
    <t>SUPVJ PT HOME HEALTH AGENCY MO 15-29 MINUTES</t>
  </si>
  <si>
    <t>Hospice/Home Health Services</t>
  </si>
  <si>
    <t>SUPERVISION PT HOME HEALTH AGENCY MONTH 30 MIN/&gt;</t>
  </si>
  <si>
    <t>CARE PLAN OVERSIGHT/OVER</t>
  </si>
  <si>
    <t>SUPERVISION HOSPICE PATIENT/MONTH 15-29 MIN</t>
  </si>
  <si>
    <t>SUPERVISION HOSPICE PATIENT/MONTH 30 MINUTES/&gt;</t>
  </si>
  <si>
    <t>G0179</t>
  </si>
  <si>
    <t>PHYS RE-CERT MCR-COVR HOM HLTH SRVC RE-CERT PRD</t>
  </si>
  <si>
    <t>G0180</t>
  </si>
  <si>
    <t>PHYS CERT MCR-COVR HOM HLTH SRVC PER CERT PRD</t>
  </si>
  <si>
    <t>G0181</t>
  </si>
  <si>
    <t>PHYS SUPV PT RECV MCR-COVR SRVC HOM HLTH AGCY</t>
  </si>
  <si>
    <t>G0182</t>
  </si>
  <si>
    <t>PHYS SUPV PT UNDER MEDICARE-APPROVED HOSPICE</t>
  </si>
  <si>
    <t>INDIV PHYS SUPVJ HOME/DOM/R-HOME MO 15-29 MIN</t>
  </si>
  <si>
    <t>Domiciliary, Rest Home Multidisciplinary care Planning</t>
  </si>
  <si>
    <t>INDIV PHYS SUPVJ HOME/DOM/R-HOME MO 30 MIN/&gt;</t>
  </si>
  <si>
    <t>TRANSITIONAL CARE MANAGE SRVC 14 DAY DISCHARGE</t>
  </si>
  <si>
    <t>Transitional Care Management Services</t>
  </si>
  <si>
    <t>TRANSITIONAL CARE MANAGE SRVC 7 DAY DISCHARGE</t>
  </si>
  <si>
    <t>ADVANCE CARE PLANNING FIRST 30 MINS</t>
  </si>
  <si>
    <t>Advance Care Planning Evaluation &amp; Management Services</t>
  </si>
  <si>
    <t>ADVANCE CARE PLANNING EA ADDL 30 MINS</t>
  </si>
  <si>
    <t>TEAM CONFERENCE FACE-TO-FACE NONPHYSICIAN</t>
  </si>
  <si>
    <t>Case Management Services</t>
  </si>
  <si>
    <t>TEAM CONFERENCE NON-FACE-TO-FACE PHYSICIAN</t>
  </si>
  <si>
    <t>TEAM CONFERENCE NON-FACE-TO-FACE NONPHYSICIAN</t>
  </si>
  <si>
    <t>CMPLX CHRON CARE MGMT W/O PT VST 1ST HR PER MO</t>
  </si>
  <si>
    <t>Chronic Care Management Services</t>
  </si>
  <si>
    <t>CMPLX CHRON CARE MGMT EA ADDL 30 MIN PER MONTH</t>
  </si>
  <si>
    <t>CHRON CARE MANAGEMENT SRVC 20 MIN PER MONTH</t>
  </si>
  <si>
    <t>G0506</t>
  </si>
  <si>
    <t>COMP ASMT OF &amp; CARE PLNG PT RQR CC MGMT SRVC</t>
  </si>
  <si>
    <t>PROLNG E/M SVC BEFORE&amp;/AFTER DIR PT CARE 1ST HR</t>
  </si>
  <si>
    <t>Prolonged Services</t>
  </si>
  <si>
    <t>PROLNG E/M BEFORE&amp;/AFTER DIR CARE EA 30 MINUTES</t>
  </si>
  <si>
    <t>PHYS STANDBY SVC PROLNG PHYS ATTN EA 30 MINUTES</t>
  </si>
  <si>
    <t>G0513</t>
  </si>
  <si>
    <t>PRLNG PREV SRVC OFC/OTH O/P RQR DIR CTC;1ST 30 M</t>
  </si>
  <si>
    <t>G0514</t>
  </si>
  <si>
    <t>PRLNG PREV SRVC OFC/OTH O/P DIR CTC;EA ADD 30 M</t>
  </si>
  <si>
    <t>PHYS/QHP TELEPHONE EVALUATION 5-10 MIN</t>
  </si>
  <si>
    <t>Telephone and Internet Services</t>
  </si>
  <si>
    <t>PHYS/QHP TELEPHONE EVALUATION 11-20 MIN</t>
  </si>
  <si>
    <t>PHYS/QHP TELEPHONE EVALUATION 21-30 MIN</t>
  </si>
  <si>
    <t>NTRPROF PHONE/NTRNET/EHR ASSMT&amp;MGMT 5-10 MIN</t>
  </si>
  <si>
    <t>NTRPROF PHONE/NTRNET/EHR ASSMT&amp;MGMT 11-20 MIN</t>
  </si>
  <si>
    <t>NTRPROF PHONE/NTRNET/EHR ASSMT&amp;MGMT 21-30 MIN</t>
  </si>
  <si>
    <t>NTRPROF PHONE/NTRNET/EHR ASSMT&amp;MGMT 31/&gt; MIN</t>
  </si>
  <si>
    <t>NTRPROF PHONE/NTRNET/EHR ASSMT&amp;MGMT 5/&gt; MIN</t>
  </si>
  <si>
    <t>NTRPROF PHONE/NTRNET/EHR REFERRAL SVC 30 MIN</t>
  </si>
  <si>
    <t>NONPHYSICIAN TELEPHONE ASSESSMENT 5-10 MIN</t>
  </si>
  <si>
    <t>NONPHYSICIAN TELEPHONE ASSESSMENT 11-20 MIN</t>
  </si>
  <si>
    <t>NONPHYSICIAN TELEPHONE ASSESSMENT 21-30 MIN</t>
  </si>
  <si>
    <t>IM ADM THRU 18YR ANY RTE 1ST/ONLY COMPT VAC/TOX</t>
  </si>
  <si>
    <t>Immunization Administration for Vaccines/Toxoids</t>
  </si>
  <si>
    <t>IM ADM THRU 18YR ANY RTE ADDL VAC/TOX COMPT</t>
  </si>
  <si>
    <t>IM ADM PRQ ID SUBQ/IM NJXS 1 VACCINE</t>
  </si>
  <si>
    <t>IM ADM PRQ ID SUBQ/IM NJXS EA VACCINE</t>
  </si>
  <si>
    <t>IM ADM INTRANSL/ORAL 1 VACCINE</t>
  </si>
  <si>
    <t>IM ADM INTRANSL/ORAL EA VACCINE</t>
  </si>
  <si>
    <t>G0008</t>
  </si>
  <si>
    <t>ADMINISTRATION OF INFLUENZA VIRUS VACCINE</t>
  </si>
  <si>
    <t>G0009</t>
  </si>
  <si>
    <t>ADMINISTRATION OF PNEUMOCOCCAL VACCINE</t>
  </si>
  <si>
    <t>G0010</t>
  </si>
  <si>
    <t>ADMINISTRATION OF HEPATITIS B VACCINE</t>
  </si>
  <si>
    <t>PT-FOCUSED HLTH RISK ASSMT SCORE DOC STND INSTRM</t>
  </si>
  <si>
    <t>Health Risk Assessment, Screenings, and Counseling</t>
  </si>
  <si>
    <t>CAREGIVER HLTH RISK ASSMT SCORE DOC STND INSTRM</t>
  </si>
  <si>
    <t>PHYS/QHP EDUCATION SVCS RENDERED PTS GRP SETTING</t>
  </si>
  <si>
    <t>ASSMT &amp; CARE PLANNING PT W/COGNITIVE IMPAIRMENT</t>
  </si>
  <si>
    <t>G0396</t>
  </si>
  <si>
    <t>ALCOHOL &amp;/SUBSTANCE ABUSE ASSESSMENT 15-30 MIN</t>
  </si>
  <si>
    <t>G0397</t>
  </si>
  <si>
    <t>ALCOHOL &amp;/SUBSTANCE ABUSE ASSESSMENT &gt;30 MIN</t>
  </si>
  <si>
    <t>G0442</t>
  </si>
  <si>
    <t>ANNUAL ALCOHOL MISUSE SCREENING 15 MINUTES</t>
  </si>
  <si>
    <t>G0443</t>
  </si>
  <si>
    <t>BRIEF FACE-FACE BEHAV CNSL ALCOHL MISUSE 15 MIN</t>
  </si>
  <si>
    <t>G0444</t>
  </si>
  <si>
    <t>ANNUAL DEPRESSION SCREENING 15 MINUTES</t>
  </si>
  <si>
    <t>G0505</t>
  </si>
  <si>
    <t>COGN &amp; FUNCT ASMT USING STD INST OFF/OTH OP/HOME</t>
  </si>
  <si>
    <t>SCREENING TEST VISUAL ACUITY QUANTITATIVE BILAT</t>
  </si>
  <si>
    <t>G0102</t>
  </si>
  <si>
    <t>PROS CANCER SCREENING; DIGTL RECTAL EXAMINATION</t>
  </si>
  <si>
    <t>G0436</t>
  </si>
  <si>
    <t>SMOKE TOB CESSATION CNSL AS PT; INTRMED 3-10 MIN</t>
  </si>
  <si>
    <t>G0437</t>
  </si>
  <si>
    <t>SMOKING &amp; TOB CESS CNSL AS PT; INTENSIVE &gt;10 MIN</t>
  </si>
  <si>
    <t>Primary Care Specialties 
Provider Taxonomy Code</t>
  </si>
  <si>
    <t>Validation by ACO_AE</t>
  </si>
  <si>
    <t>This tab uses insurer-provided information from the ACO_AE and Rx Rebates tabs to calculate spend and trend by market and service category.  These summary tables are intended to help insurers validate their data prior to submission.
Insurers are not required to input any data in this tab.  Insurers must review this tab prior to submitting this file to ensure data are correct.</t>
  </si>
  <si>
    <t>This tab uses insurer-provided information from the ACO_AE and Rx Rebates tabs to calculate spend and trend by ACO/AE and service category.  These summary tables are intended to help insurers validate their data prior to submission.
Insurers are not required to input any data in this tab.  Insurers must review this tab prior to submitting this file to ensure data are correct.</t>
  </si>
  <si>
    <t>This tab provides the definitions of key terms used throughout this template, including but not limited to the spending categories referenced in the ACO_AE tab.  Please refer to this tab, or the Implementation Manual, if you have any questions on what to submit in this template.
Insurers are not required to input any data in this tab.</t>
  </si>
  <si>
    <t>Header Record Template - 2021</t>
  </si>
  <si>
    <t>Total Medical Expenses Calculation Template - 2021</t>
  </si>
  <si>
    <t>1+5</t>
  </si>
  <si>
    <t>ACO/AE or Insurer Overall Organizational Identification Number for TME Reporting</t>
  </si>
  <si>
    <t>ACO/AE Organization or Insurer</t>
  </si>
  <si>
    <t>Insurer Overall</t>
  </si>
  <si>
    <t>Thundermist</t>
  </si>
  <si>
    <t>New</t>
  </si>
  <si>
    <t>Count of Members with Claims Truncated</t>
  </si>
  <si>
    <t>A24</t>
  </si>
  <si>
    <t>A25</t>
  </si>
  <si>
    <t>TOTAL Truncated Unadjusted Claims Expenses (A19 - A17)</t>
  </si>
  <si>
    <t>TOTAL Non-Truncated Unadjusted Expenses 
(A19+A21)</t>
  </si>
  <si>
    <t>TOTAL Truncated Unadjusted Expenses (A20+A21)</t>
  </si>
  <si>
    <t>Non-Truncated Unadjusted TME (PMPM) (A22/A1)</t>
  </si>
  <si>
    <t>Truncated Unadjusted TME (PMPM) (A23/A1)</t>
  </si>
  <si>
    <t>Line of Business Enrollment Category Code</t>
  </si>
  <si>
    <t>2021 Income from Fees of Uninsured Plans</t>
  </si>
  <si>
    <t>B3</t>
  </si>
  <si>
    <t>ACO/AE or Insurer Overall Organization ID</t>
  </si>
  <si>
    <t>Age/Sex Factors Template - 2021</t>
  </si>
  <si>
    <t>Standard Deviation PMPM</t>
  </si>
  <si>
    <t>Pharmacy Rebate Template - 2021</t>
  </si>
  <si>
    <t>2021</t>
  </si>
  <si>
    <t>Friday, September 30, 2022</t>
  </si>
  <si>
    <t>Friday, September 29, 2023</t>
  </si>
  <si>
    <t>Age Band Code</t>
  </si>
  <si>
    <t>Description</t>
  </si>
  <si>
    <t>0 to 1 year old</t>
  </si>
  <si>
    <t>2 to 18 years old</t>
  </si>
  <si>
    <t>19 to 39 years old</t>
  </si>
  <si>
    <t>40 to 54 years old</t>
  </si>
  <si>
    <t>55 to 64 years old</t>
  </si>
  <si>
    <t>65 to 74 years old</t>
  </si>
  <si>
    <t>75 to 84 years old</t>
  </si>
  <si>
    <t>85+ years old</t>
  </si>
  <si>
    <t>Sex Code</t>
  </si>
  <si>
    <t>Total Truncated Spending</t>
  </si>
  <si>
    <t>LOB Enrollment</t>
  </si>
  <si>
    <t>Response - 2021 Reporting</t>
  </si>
  <si>
    <t>ACO/AE Name</t>
  </si>
  <si>
    <t>TOTAL Non-Truncated Unadjusted Claims Expenses</t>
  </si>
  <si>
    <t>2021 Member Months</t>
  </si>
  <si>
    <t>2021 Claims: Hospital Inpatient</t>
  </si>
  <si>
    <t>2021 Claims: Hospital Outpatient</t>
  </si>
  <si>
    <t>2021 Claims: Professional, Primary Care</t>
  </si>
  <si>
    <t>2021 Claims: Professional, Specialty Care</t>
  </si>
  <si>
    <t>2021 Claims: Professional Other</t>
  </si>
  <si>
    <t>2021 Claims: Long-term Care</t>
  </si>
  <si>
    <t>2021 Claims: Other</t>
  </si>
  <si>
    <t>2021 TOTAL Non-Truncated Claims Expenses</t>
  </si>
  <si>
    <t>2021 TOTAL Truncated Claims Expenses</t>
  </si>
  <si>
    <t>2021 TOTAL Non-Claims Expenses</t>
  </si>
  <si>
    <t>2021 TOTAL Non-Truncated Total Expenses</t>
  </si>
  <si>
    <t>2021 TOTAL Truncated Total Expenses</t>
  </si>
  <si>
    <t>Member Months Trend</t>
  </si>
  <si>
    <t>Claims: Hospital Inpatient Trend</t>
  </si>
  <si>
    <t>Claims: Hospital Outpatient Trend</t>
  </si>
  <si>
    <t>Claims: Professional, Primary Care Trend</t>
  </si>
  <si>
    <t>Claims: Professional, Specialty Care Trend</t>
  </si>
  <si>
    <t>Claims: Professional Other Trend</t>
  </si>
  <si>
    <t>Claims: Pharmacy (Gross of Rebates) Trend</t>
  </si>
  <si>
    <t>Claims: Long-term Care  Trend</t>
  </si>
  <si>
    <t>Claims: Other Trend</t>
  </si>
  <si>
    <t>TOTAL Non-Truncated Claims Expenses Trend</t>
  </si>
  <si>
    <t>TOTAL Truncated Claims Expenses  Trend</t>
  </si>
  <si>
    <t>TOTAL Non-Claims Expenses Trend</t>
  </si>
  <si>
    <t>TOTAL Non-Truncated Total Expenses Trend</t>
  </si>
  <si>
    <t>TOTAL Truncated Total Expenses Trend</t>
  </si>
  <si>
    <t>2021 Member Months (sum of ICC3 + 4)</t>
  </si>
  <si>
    <t>Total Claims Excluded because of Truncation</t>
  </si>
  <si>
    <t>2021 Member Months (sum of ICC2 + 6)</t>
  </si>
  <si>
    <t>Table 2: Total Medical Expense (TME) Trends by Market, Net of Total Rebates (Non-Truncated, Unadjusted)</t>
  </si>
  <si>
    <t>Table 4: Total Medical Expense (TME) Trends by Market, Net of Total Rebates (Truncated, Unadjusted)</t>
  </si>
  <si>
    <t>Total Non-Truncated Claims Spending</t>
  </si>
  <si>
    <t>Total Truncated Claims Spending</t>
  </si>
  <si>
    <t>Table 3: Per Member Per Month (PMPM) TME Trends by Market, Net of Total Rebates (Unadjusted)</t>
  </si>
  <si>
    <t>Total Non-Truncated Spending, Gross of Total Rebates</t>
  </si>
  <si>
    <t>Total Non-Truncated Spending, Net of Total Rebates</t>
  </si>
  <si>
    <t>Total Truncated Spending, Gross of Total Rebates</t>
  </si>
  <si>
    <t>Total Truncated Spending, Net of Total Rebates</t>
  </si>
  <si>
    <t xml:space="preserve">   Note: PMPMs are not risk adjusted.</t>
  </si>
  <si>
    <t>Sex Band Code</t>
  </si>
  <si>
    <r>
      <rPr>
        <b/>
        <sz val="11"/>
        <color rgb="FFC00000"/>
        <rFont val="Calibri"/>
        <family val="2"/>
        <scheme val="minor"/>
      </rPr>
      <t>Note</t>
    </r>
    <r>
      <rPr>
        <b/>
        <sz val="11"/>
        <color theme="1"/>
        <rFont val="Calibri"/>
        <family val="2"/>
        <scheme val="minor"/>
      </rPr>
      <t xml:space="preserve">: </t>
    </r>
    <r>
      <rPr>
        <sz val="11"/>
        <color theme="1"/>
        <rFont val="Calibri"/>
        <family val="2"/>
        <scheme val="minor"/>
      </rPr>
      <t>Payers may insert additional rows in the table below if needed.</t>
    </r>
  </si>
  <si>
    <t>Insurance Category Codes Included</t>
  </si>
  <si>
    <t>Standard Deviation Template - 2021</t>
  </si>
  <si>
    <t>Measure</t>
  </si>
  <si>
    <t>Are pharmacy rebate data estimated to attribute rebates to different ICCs?  If yes, how?</t>
  </si>
  <si>
    <t>Are members attributed to an ACO on a monthly basis?  If yes, did you apply the "reset the clock" approach to truncate spending for members who switch ACOs mid-year?</t>
  </si>
  <si>
    <t>Reasonableness of Data Compared to Initial 2020 Data Submission (Submitted in 2021)</t>
  </si>
  <si>
    <t>Line of Business Enrollment</t>
  </si>
  <si>
    <t>Reasonableness of PMPMs for 2021</t>
  </si>
  <si>
    <t>Non-Truncated Unadjusted Expenses</t>
  </si>
  <si>
    <t>2021 Public Data</t>
  </si>
  <si>
    <t>2020 Data Submission (Submitted in 2021)</t>
  </si>
  <si>
    <t>Total Expenses (Non-Truncated, Unadjusted)</t>
  </si>
  <si>
    <t>Is spending reported in a manner consistent with the service category definitions outlined in Version 8 of the Implementation Manual?</t>
  </si>
  <si>
    <t>The OHIC Organization ID of the ACO/AE, as listed in the "Reference Tables" tab.  For TME data for members who are unattributed to an ACO/AE, their data are to be reported in aggregate as “Members Not Attributed to an ACO/AE (ACO/AE Identification Number 999).”The table also includes an identification number for reporting on the Insurer Overall, Organization ID 100.</t>
  </si>
  <si>
    <r>
      <t xml:space="preserve">A number that indicates the insurance category that is being reported. All data reported by Insurance Category Code should be mutually exclusive.  Commercial claims should be separated into two categories, as shown below.  Commercial self insured or fully insured data for large providers for which the insurer can collect information on all direct medical claims and any claims paid by a delegated entity should be reported in the “Full Claims” category. Commercial self-insured or fully insured data that does not include all medical and subcarrier claims should be reported in the “Partial Claims,” category.  An adjustment should be made to “Partial Claims” to allow for them to be comparable to full claims.  Such an adjustment must be reviewed with OHIC before the adjustment is made.   The goal of the adjustment is to estimate what total spending might be for those members without having to collect claims data from carve-out vendors, such as PBMs or behavioral health vendors.  For example, for those members for whom pharmacy benefits are carved out, the insurer might include its commercial market book of business average pharmacy spending per-member per-month for the same year, calculated on members who had pharmacy coverage, and applied to all member months for which the carve out applied.
If an insurer enrolls Medicare/Medicaid dual eligibles, OHIC requires the insurer to report Medicare-related expenditures under insurance category code 5 and Medicaid-related expenditures under Insurance Category Code 6.  For example, if an insurer covers Medicare/Medicaid dual eligibles, but is only responsible for Medicaid services, expenditures for those dual eligibles are reported under Insurance Category Code 6.
</t>
    </r>
    <r>
      <rPr>
        <b/>
        <sz val="11"/>
        <color theme="1"/>
        <rFont val="Calibri"/>
        <family val="2"/>
        <scheme val="minor"/>
      </rPr>
      <t>Note:</t>
    </r>
    <r>
      <rPr>
        <sz val="11"/>
        <color theme="1"/>
        <rFont val="Calibri"/>
        <family val="2"/>
        <scheme val="minor"/>
      </rPr>
      <t xml:space="preserve"> If an insurer provides both Medicare and Medicaid benefits to dually eligible beneficiaries through the CMS Financially Aligned Initiative, the insurer should use Insurance Category Code 7 to report applicable expenditures.  Any payer with data in Insurance Category Code 7 will be required to submit a reasonable and appropriate estimate of the proportion of Medicare and Medicaid spending within each service category so that OHIC can allocate expenditures to the respective markets for the purposes of analyses.  This will allow OHIC to include the Medicare- or Medicaid-related expenditure for dual eligibles in the respective Market for reporting purposes.  Insurers should detail the estimate in the comments field of Header Record tab.
Insurers shall report for all insurance categories for which they have business. For insurers reporting in the “Other” category, insurers should describe in the Comments field of the Header Record tab what is included in the “Other” category.</t>
    </r>
  </si>
  <si>
    <r>
      <t xml:space="preserve">A value that measures a member’s illness burden and predicted resource use based on differences in patient characteristics or other risk factors. Payers must disclose the health status adjustment tool and version number and calibration settings in the header record.   </t>
    </r>
    <r>
      <rPr>
        <b/>
        <u/>
        <sz val="11"/>
        <color theme="1"/>
        <rFont val="Calibri"/>
        <family val="2"/>
        <scheme val="minor"/>
      </rPr>
      <t>Note: This information will not be used to adjust payer data.</t>
    </r>
    <r>
      <rPr>
        <sz val="11"/>
        <color theme="1"/>
        <rFont val="Calibri"/>
        <family val="2"/>
        <scheme val="minor"/>
      </rPr>
      <t xml:space="preserve"> OHIC will collect this information to compare results of payer-reported risk-adjustment with the results of age/sex risk-adjustment using the reported data in the Age/Sex Factors tabs.  Insurers must submit a clinical risk score that represents all members being reported by Insurance Category Code and the three categories articulated under TME Data Submission.  Insurers are permitted to use a clinical risk-adjustment tool and software of their own choosing, but must disclose the tool (e.g., ACG, DxCG, etc.) and the version in the comment fields of the TME data files.  TME data are not to be adjusted.
</t>
    </r>
    <r>
      <rPr>
        <b/>
        <u/>
        <sz val="11"/>
        <color theme="1"/>
        <rFont val="Calibri"/>
        <family val="2"/>
        <scheme val="minor"/>
      </rPr>
      <t>Note: Clinical risk scores should be normalized for every annual data submission</t>
    </r>
    <r>
      <rPr>
        <sz val="11"/>
        <color theme="1"/>
        <rFont val="Calibri"/>
        <family val="2"/>
        <scheme val="minor"/>
      </rPr>
      <t xml:space="preserve"> (regardless of how many calendar years of data are included in submission), to ensure accurate comparison of trend across years (e.g., when payers submit 2020-2021 data, clinical risk scores should be based on 2020; when payers submit 2021-2022 data, health risk scores should be normalized to 2021).</t>
    </r>
  </si>
  <si>
    <t>The TME paid to primary care providers (i.e., family practice, geriatric, internal medicine and pediatric providers defined using taxonomy codes in the "References Table" tab) delivering care at a primary care site of care (defined below) generated from claims using the following code-level definition found in the "Reference Tables" tab.
Primary care services include care management; care planning; consultation services; health risk assessments, screenings and counseling; home visits; hospice/home health services; immunization administrations; office visits and preventive medicine visits.  They do not include prescription drugs (including those covered by both medical and pharmacy benefits), laboratory, x-ray and imaging services.
Payers should identify primary care providers first by searching for relevant provider taxonomy codes in the rendering provider field and then the billing provider field.  If the carrier does not utilize the provider taxonomy codes in "Reference Tables", it may apply its provider codes to match the description of the provider taxonomy codes included.
A primary care site of care is defined as a primary care outpatient setting (e.g., office, clinic or center), federally qualified health center (FQHC), school-based health center, or via telehealth delivered by a PCP that is part of a primary care outpatient setting, FQHC or school-based health center.  It excludes primary care spending delivered at urgent care centers, retail pharmacy clinics and via stand-alone telehealth vendors, i.e., a third-party telehealth vendor that does not contract with a primary care outpatient setting, federally qualified health center or school-based health center to deliver services.  Insurers should use the place of service and modifier codes in the primary care code list in "Reference Tables"  to identify primary care services delivered via telehealth.</t>
  </si>
  <si>
    <r>
      <t xml:space="preserve">The TME paid from claims to health care providers for prescription drugs, biological products or vaccines as defined by the insurer’s prescription drug benefit.  </t>
    </r>
    <r>
      <rPr>
        <u/>
        <sz val="11"/>
        <color theme="1"/>
        <rFont val="Calibri"/>
        <family val="2"/>
        <scheme val="minor"/>
      </rPr>
      <t>This category should not include claims paid for pharmaceuticals under the insurer’s medical benefit.</t>
    </r>
    <r>
      <rPr>
        <sz val="11"/>
        <color theme="1"/>
        <rFont val="Calibri"/>
        <family val="2"/>
        <scheme val="minor"/>
      </rPr>
      <t xml:space="preserve"> Pharmacy spending provided under the medical benefit should be attributed to the location in which it was delivered (e.g., pharmaceuticals delivered in a hospital inpatient setting should be attributed to Claims: Hospital Inpatient).  It does not include the cost of vaccines administered in the primary care setting.  Medicare managed care, i.e., Medicare Advantage, insurers that offer stand-alone prescription drug plans (PDPs) should exclude stand-alone PDP data from their TME.  Pharmacy data is to be reported gross of applicable rebates. </t>
    </r>
  </si>
  <si>
    <t>All payments received from a provider, member/beneficiary or other payer, which were distributed by a payer and then later recouped due to a review, audit or investigation.   This field should be reported as a negative number.  Only report data in this category not otherwise included elsewhere (e.g., if Inpatient Hospital is reported net of Recoveries, do not separately report the same Recoveries amount in this category).</t>
  </si>
  <si>
    <t>All other payments made pursuant to the insurer’s contract with a provider not made on the basis of a claim for health care benefits/services and cannot be properly classified elsewhere.  This may include governmental payer shortfall payments, grants or other surplus payments.  FQHC wrap payments should be included in this category.  For CY 2020, this may also include supportive funds made to providers to support clinical and business operations during the global COVID 19 pandemic.  Only payments made to providers are to be reported; insurer administrative expenditures (including corporate allocations) are not included in TME.</t>
  </si>
  <si>
    <t>LOB Enrollment Tab</t>
  </si>
  <si>
    <t>The code corresponding to the line of business for plans categorized by the insurer as individual, large group – fully insured, small group – fully insured, self-insured, student market, Medicare managed care, and Medicaid/CHIP managed care and Medicare/Medicaid duals.  These market enrollment category codes are listed in the "Reference Tables" tab.</t>
  </si>
  <si>
    <t>The number of unique members participating in a plan each month with a medical benefit, regardless of whether the member has any paid claims. Member months should be calculated by taking the number of members with a medical benefit and multiplying that sum by the number of months in the member’s policy.</t>
  </si>
  <si>
    <t>The total claims-based spending after truncation attributed to each member participating in a plan each month with a medical benefit consistent with the general cost growth target specifications on how to calculate claims-based spending. The spending in these cells should be after member-level truncation is applied using the truncation points listed in the "Reference Tables" tab. Do not include any non-claims spending categories.
Some insurers will attribute members to an Accountable Care Organization/Accountable Entity on a monthly basis. If a member is attributed to more than one ACO/AE during the year, the payer should “reset the clock” by calculating total spending attributed to the ACO/AE for all ACO/AEs to which the member was reported and identify the total spending above the truncation point by each ACO/AE (see the inset for an example calculation).</t>
  </si>
  <si>
    <t>Refers to the Medicare and Commercial markets, and combines Insurance Category Codes.  Insurance Category Codes should be mapped to market as follows:
•	Medicare: includes Medicare Managed Care and Medicare Expenditures for Medicare/Medicaid Dual Eligibles (i.e., ICC 1 and ICC 5)
•	Medicaid: includes Medicaid Managed Care and Medicaid Expenditures Medicare/Medicaid Dual Eligibles (i.e., ICC2 and ICC6)
•	Commercial: includes Commercial – Full Claims and Commercial – Partial Claims (for the Commercial partial population, standard deviation should be calculated based on adjusted data for the partial population) (i.e., ICC 3 and ICC 4)</t>
  </si>
  <si>
    <t>The total claims-based spending truncated using the truncation points listed in the "Reference Tables" tab. This variable is collected by Insurance Category Code for each ACO/AE and for the Insurer Overall.
While OHIC recognizes that some insurers separately truncate medical and pharmacy spending in their total cost of care contracts, OHIC requests that truncation be applied to individuals’ total spending, inclusive of all medical and pharmacy spending.</t>
  </si>
  <si>
    <t>The code associated with the age band of the members whose spending is being reported. See "Reference Tables" tab.</t>
  </si>
  <si>
    <t>The code associated with the sex of the members whose spending is being reported. See "Reference Tables" tab.</t>
  </si>
  <si>
    <t xml:space="preserve">The annual total claims-based spending attributed to each member participating in a plan each month with a medical benefit consistent with aforementioned specifications on how to calculate claims-based spending.  The spending in these cells should be before member-level truncation is applied.  Do not include any non-claims spending categories. </t>
  </si>
  <si>
    <t>The total claims-based spending after truncation attributed to each member participating in a plan each month with a medical benefit consistent with the general cost growth target specifications on how to calculate claims-based spending.  The spending in these cells should be after member-level truncation is applied using the truncation points listed in Table 16 below.  Do not include any non-claims spending categories.  Validation check: the sum of all age/sex bands for this variable across all ACO/AE IDs within one Insurance Category Code will not necessarily equal the sum of the reported truncated spending reported in the Age_Sex_ICC tab because truncation is applied at a per-member level and “reset” for members who are attributed to more than one ACO/AE during the calendar year. 
Some insurers will attribute members to ACOs/AEs on a monthly basis.  If a member is attributed to more than one ACO/AE during the year, the payer should “reset the clock” by calculating total spending attributed to the ACO/AE for all ACO/AEs to which the member was reported and identify the total spending above the truncation point by each ACO/AE.
See inset in Implementation Manual for an example.</t>
  </si>
  <si>
    <t xml:space="preserve">The sum of all dollars that were removed from total spending after applying truncation at the member level. </t>
  </si>
  <si>
    <t>1 and 5</t>
  </si>
  <si>
    <t>2 and 6</t>
  </si>
  <si>
    <t>3 and 4</t>
  </si>
  <si>
    <t>Prolonged office or other outpatient evaluation and management service(s) requiring total time with or without direct patient contact beyond the usual service, on the date of the primary service; each 15 minutes</t>
  </si>
  <si>
    <t>G2212</t>
  </si>
  <si>
    <t>Prolonged office or other outpatient evaluation and management service(s) beyond the maximum required time of the primary procedure which has been selected using total time on the date of the primary service; each additional 15 minutes by the physician or qualified healthcare professional, with or without direct patient contact</t>
  </si>
  <si>
    <t>Chronic care management services, each additional 20 minutes of clinical staff time directed by a physician or other qualified health care professional, per calendar month</t>
  </si>
  <si>
    <t>Online digital evaluation and management service, for an established patient, for up to 7 days, cumulative time during the 7 days; 5-10 minutes</t>
  </si>
  <si>
    <t>Online digital evaluation and management service, for an established patient, for up to 7 days, cumulative time during the 7 days; 11-20 minutes</t>
  </si>
  <si>
    <t>Online digital evaluation and management service, for an established patient, for up to 7 days, cumulative time during the 7 days; 21 or more minutes</t>
  </si>
  <si>
    <t>Qualified nonphysician health care professional online digital evaluation and management service, for an established patient, for up to 7 days, cumulative time during the 7 days; 5-10 minutes</t>
  </si>
  <si>
    <t>Telephone and Internet services</t>
  </si>
  <si>
    <t>Qualified nonphysician health care professional online digital evaluation and management service, for an established patient, for up to 7 days, cumulative time during the 7 days; 11-20 minutes</t>
  </si>
  <si>
    <t>Qualified nonphysician health care professional online digital evaluation and management service, for an established patient, for up to 7 days, cumulative time during the 7 days; 21 or more minutes</t>
  </si>
  <si>
    <r>
      <t xml:space="preserve">The annual total claims-based spending attributed to each member participating in a plan each month with a medical benefit consistent with aforementioned specifications on how to calculate claims-based spending.  The spending in these cells should be before member-level truncation is applied.  Do not include any non-claims spending categories.  
</t>
    </r>
    <r>
      <rPr>
        <i/>
        <sz val="11"/>
        <color theme="1"/>
        <rFont val="Calibri"/>
        <family val="2"/>
        <scheme val="minor"/>
      </rPr>
      <t>Validation check: The sum of all age/sex bands for this variable within one Insurance Category Code should equal the sum of Total Unadjusted Claims Expenses for the "Insurer Overall" (Org ID 100) in the ACO_AE tab.</t>
    </r>
  </si>
  <si>
    <t>The number of unique members participating in a plan each month with a medical benefit, regardless of whether the member has any paid claims.  Member months should be calculated by summing the number of months each member was enrolled in a plan with a medical benefit for one calendar year.</t>
  </si>
  <si>
    <t>Total Claims Excluded Because of Truncation</t>
  </si>
  <si>
    <r>
      <t xml:space="preserve">The total claims-based spending after truncation attributed to each member participating in a plan each month with a medical benefit consistent with the general cost growth target specifications on how to calculate claims-based spending.  The spending in these cells should be after member-level truncation is applied using the truncation points listed in "Reference Tables" tab.  Do not include any non-claims spending categories.  
</t>
    </r>
    <r>
      <rPr>
        <b/>
        <i/>
        <sz val="11"/>
        <color rgb="FFC00000"/>
        <rFont val="Calibri"/>
        <family val="2"/>
        <scheme val="minor"/>
      </rPr>
      <t>Validation check: the sum of all age/sex bands for this variable across all ACO/AE IDs within one Insurance Category Code will not necessarily equal the sum of the reported truncated spending reported in the Age_Sex_ICC tab because truncation is applied at a per-member level and “reset” for members who are attributed to more than one ACO/AE during the calendar year.  (See below for more information)</t>
    </r>
    <r>
      <rPr>
        <sz val="11"/>
        <color theme="1"/>
        <rFont val="Calibri"/>
        <family val="2"/>
        <scheme val="minor"/>
      </rPr>
      <t xml:space="preserve">
Some insurers will attribute members to ACOs/AEs on a monthly basis.  If a member is attributed to more than one ACO/AE during the year, the payer should “reset the clock” by calculating total spending attributed to the ACO/AE for all ACO/AEs to which the member was reported and identify the total spending above the truncation point by each ACO/AE.
For insurers reporting in Insurance Category Code 4 (Partial Claims, Adjusted), the member level truncation should be applied after estimates of carve-out spending have been made, so that truncation is being applied to an estimate of individual members’ total claims spending.  (See inset in Implementation Manual for example).</t>
    </r>
  </si>
  <si>
    <t xml:space="preserve">The calculated standard deviation for all members for the applicable market and ACO/AE, reported as a per-member-per-month (PMPM) value. Insurers should include all members attributed to an ACO/AE, including members with no utilization. Standard deviation should be based on PMPM spending. Insurance carriers should calculate the standard deviation PMPM after partial claims adjustments. Non-claims expenditures should be excluded from the calculation. 
The following steps detail how insurers can calculate standard deviation values for the data submission:
Step 1: Attribute members to the appropriate ACO/AE. Insurers should include all members attributed to an ACO/AE, including members with no utilization. 
Step 2: For each market, for each ACO/AE, the insurer carrier must calculate the average monthly spending amount of each member using claims-based allowed amounts. Insurers should calculate the average claims-based allowed amount after partial claims adjustments and after truncation of member level spending. Non-claims expenditures should be excluded from this average. 
Step 3: Use the per-month average for each individual and multiply that value by the number of enrolled member months for that member. Sum the values for all members and divide by the total number of member months to produce a per member per month dollar amount that is specific to a given market and ACO/AE. Note that when calculating the standard deviation of the population for the cost growth target program, insurers must use each member’s average cost applied to each month they were enrolled, instead of the actual utilization each month. 
Step 4: With the average claims expenses value for each ACO/AE, insurers can now calculate the standard deviation. The formula is:
Where:
s2 = sample variance
xi = value of the one observation
x ̅ = the mean value of all observations
n = the number of observations
Using the Excel function STDEV.P() or other standard deviation commands in any other statistical software program, insurers can calculate the standard deviation of the PMPM costs for a given market.
Note that when calculating standard deviation, insurers should use the formula for population standard deviation (divided by N). Insurers should NOT use the formula for sample standard deviation (divided by N-1).
Step 5: Report the standard deviation values in the data submission template in the Standard Deviation tab. Each row should correspond to an ACO/AE for a specific market or for the insurer overall (using Insurer Overall ID, 100) for that market. 
</t>
  </si>
  <si>
    <t>What carved-out services are estimated for ICC4?  Please explain the methodology used for your estimates.</t>
  </si>
  <si>
    <t xml:space="preserve">Does the spending in the age/sex bands contain non-claims data?  </t>
  </si>
  <si>
    <t>Is the standard deviation calculated using the formula for population standard deviation?</t>
  </si>
  <si>
    <t>In calculating standard deviaton, is spending included for every month the member was attributed, regardless of whether the member has paid claims?</t>
  </si>
  <si>
    <t>Do the variance data exclude non-claims spending?</t>
  </si>
  <si>
    <t>Is standard deviation calculated by market, which combines certain Insurance Category codes?</t>
  </si>
  <si>
    <t>Do the TME data include Rhode Island residents only?</t>
  </si>
  <si>
    <t>Do the TME data include Rhode Island residents with commercial business contracted sited both within and outside of Rhode Island (for Tufts and United only)?</t>
  </si>
  <si>
    <t>Do the TME data include services provided by providers, regardless of location of provider?</t>
  </si>
  <si>
    <t>Do the TME data include services provided by providers, regardless of the situs of the member's plan?</t>
  </si>
  <si>
    <t>ACO/AE ID or Insurer Overall</t>
  </si>
  <si>
    <t>2021 Answer</t>
  </si>
  <si>
    <t>2022 Member Months (sum of ICC3 + 4)</t>
  </si>
  <si>
    <t>2022 Claims: Hospital Inpatient</t>
  </si>
  <si>
    <t>2022 Claims: Hospital Outpatient</t>
  </si>
  <si>
    <t>2022 Claims: Professional, Primary Care</t>
  </si>
  <si>
    <t>2022 Claims: Professional, Specialty Care</t>
  </si>
  <si>
    <t>2022 Claims: Professional Other</t>
  </si>
  <si>
    <t>2022 Claims: Pharmacy (Gross of Retail Pharmacy Rebates)</t>
  </si>
  <si>
    <t>2022 Claims: Long-term Care</t>
  </si>
  <si>
    <t>2022 Claims: Other</t>
  </si>
  <si>
    <t>2022 TOTAL Non-Truncated Claims Expenses</t>
  </si>
  <si>
    <t>2022 TOTAL Truncated Claims Expenses</t>
  </si>
  <si>
    <t>2022 TOTAL Non-Claims Expenses</t>
  </si>
  <si>
    <t>2022 TOTAL Non-Truncated Total Expenses</t>
  </si>
  <si>
    <t>2022 TOTAL Truncated Total Expenses</t>
  </si>
  <si>
    <t>2022 Member Months</t>
  </si>
  <si>
    <t>2022 Member Months (sum of ICC2 + 6)</t>
  </si>
  <si>
    <t>2022 Member Months (sum of ICC1+ 5)</t>
  </si>
  <si>
    <t>2021 Claims: Pharmacy (Gross of  Rebates)</t>
  </si>
  <si>
    <t>2021 Member Months (sum of ICC1 + 5)</t>
  </si>
  <si>
    <t>Standard Deviation Template - 2022</t>
  </si>
  <si>
    <t>Age/Sex Factors Template - 2022</t>
  </si>
  <si>
    <t>2022</t>
  </si>
  <si>
    <t>Pharmacy Rebate Template - 2022</t>
  </si>
  <si>
    <t>Total Medical Expenses Calculation Template - 2022</t>
  </si>
  <si>
    <t>Header Record Template - 2022</t>
  </si>
  <si>
    <t>Expected Insurance Category Codes for Insurer</t>
  </si>
  <si>
    <t>Expected in 2021?</t>
  </si>
  <si>
    <t>Reported in the TME tab for 2021?</t>
  </si>
  <si>
    <t>Expected in 2022?</t>
  </si>
  <si>
    <t>Reported in the TME tab for 2022?</t>
  </si>
  <si>
    <t>Consistent across 2021 and 2022?</t>
  </si>
  <si>
    <t>TME tab</t>
  </si>
  <si>
    <t>Consistent? If not, what is the variation between the TME and Line of Business tabs?</t>
  </si>
  <si>
    <t>Age/Sex</t>
  </si>
  <si>
    <t>Consistent? If not, what is the variation between the TME and Age/Sex tabs?</t>
  </si>
  <si>
    <t>Standard Deviation</t>
  </si>
  <si>
    <t>Consistent? If not, what is the variation between the TME and Standard Deviation tabs?</t>
  </si>
  <si>
    <t>Consistency of Member Months Across TME and Age-Sex Factors for Insurer Overall (ID 100) by ICC)</t>
  </si>
  <si>
    <t>2021 TME Member Months</t>
  </si>
  <si>
    <t>2021 Age/Sex Member Months</t>
  </si>
  <si>
    <t>Consistent? If not, what is the variation between the TME and Age/Sex Factors tabs?</t>
  </si>
  <si>
    <t>Is the member months for the Insurer Overall equal to the sum of member months across all ACO/AEs for 2021?</t>
  </si>
  <si>
    <t>2022 TME Member Months</t>
  </si>
  <si>
    <t>2022 Age/Sex Member Months</t>
  </si>
  <si>
    <t>Is the member months for the Insurer Overall equal to the sum of member months across all ACO/AEs for 2022?</t>
  </si>
  <si>
    <t>Consistency of Truncated Spending and Members with Truncated Spending Across TME and Age/Sex tabs for 2021 by ACO/AE</t>
  </si>
  <si>
    <t>Insurance Category 1</t>
  </si>
  <si>
    <t>ACO/AE ID</t>
  </si>
  <si>
    <t>Data from 2021 Age/Sex tab</t>
  </si>
  <si>
    <t>Do data in the Age/Sex tabs match data in the TME tab for 2021?</t>
  </si>
  <si>
    <t>Extra Checks</t>
  </si>
  <si>
    <t>Count of members whose spending was truncated</t>
  </si>
  <si>
    <t>Total Dollars excluded?</t>
  </si>
  <si>
    <t>Count of members whose spending was truncated?</t>
  </si>
  <si>
    <t>Total Spending before Truncation is Applied?</t>
  </si>
  <si>
    <t>Total Spending After Applying Truncation at the Member Level?</t>
  </si>
  <si>
    <t>Total Members greater than Count of Members with Claims Truncated?
If not, what is the variation?</t>
  </si>
  <si>
    <t>TME Tab: Spending before Truncation greater than (or equal to) Spending after Truncation?</t>
  </si>
  <si>
    <t>TME Tab: 
Truncated Spending + Amount of Claims Truncated = Total Spending before Truncation?</t>
  </si>
  <si>
    <t>Insurance Category 2</t>
  </si>
  <si>
    <t>Insurance Category 3</t>
  </si>
  <si>
    <t>Insurance Category 4</t>
  </si>
  <si>
    <t>Insurance Category 5</t>
  </si>
  <si>
    <t>Data from 2022 Age/Sex tab</t>
  </si>
  <si>
    <t>Do data in the Age/Sex tabs match data in the TME tab for 2022?</t>
  </si>
  <si>
    <t>Consistency of Truncated Spending by ACO/AE between the ACO/AE and Standard Deviation Tabs for each Market by ACO/AE</t>
  </si>
  <si>
    <t>Insurance Category 7</t>
  </si>
  <si>
    <t>Total Truncated Claim Spending from TME tab for market</t>
  </si>
  <si>
    <t>Total Truncated Spending from Standard Deviation tab</t>
  </si>
  <si>
    <t>Line of Business Enrollment Template - 2021 and 2022</t>
  </si>
  <si>
    <t>2022 Income from Fees of Uninsured Plans</t>
  </si>
  <si>
    <r>
      <t xml:space="preserve">Greater than or equal to a 10% change between categories 3+4? 
</t>
    </r>
    <r>
      <rPr>
        <i/>
        <sz val="11"/>
        <color theme="1"/>
        <rFont val="Calibri"/>
        <family val="2"/>
        <scheme val="minor"/>
      </rPr>
      <t xml:space="preserve">Red highlighting indicates a 10%+ change. </t>
    </r>
    <r>
      <rPr>
        <sz val="11"/>
        <color theme="1"/>
        <rFont val="Calibri"/>
        <family val="2"/>
        <scheme val="minor"/>
      </rPr>
      <t>If yes</t>
    </r>
    <r>
      <rPr>
        <i/>
        <sz val="11"/>
        <color theme="1"/>
        <rFont val="Calibri"/>
        <family val="2"/>
        <scheme val="minor"/>
      </rPr>
      <t xml:space="preserve">, </t>
    </r>
    <r>
      <rPr>
        <sz val="11"/>
        <color theme="1"/>
        <rFont val="Calibri"/>
        <family val="2"/>
        <scheme val="minor"/>
      </rPr>
      <t xml:space="preserve">what is the change? </t>
    </r>
  </si>
  <si>
    <r>
      <t xml:space="preserve">Greater than or equal to a 10% change between categories 3+4? 
</t>
    </r>
    <r>
      <rPr>
        <i/>
        <sz val="11"/>
        <color theme="1"/>
        <rFont val="Calibri"/>
        <family val="2"/>
        <scheme val="minor"/>
      </rPr>
      <t xml:space="preserve">Red highlighting indicates a 10%+ change. </t>
    </r>
  </si>
  <si>
    <t xml:space="preserve">If yes, what is the change? </t>
  </si>
  <si>
    <t>% Change for 2021</t>
  </si>
  <si>
    <t>Reasonableness of Data Compared to Other Submitted Data</t>
  </si>
  <si>
    <t>2022 Answer</t>
  </si>
  <si>
    <t>Reasonableness of PMPMs for 2022</t>
  </si>
  <si>
    <t>% Change for 2022</t>
  </si>
  <si>
    <t>Initial 2021 Submission (Submitted in 2022)</t>
  </si>
  <si>
    <t>Revised 2021 Submission (Submitted in 2023)</t>
  </si>
  <si>
    <t>Did you review the "Validation by Market," "Validation by Provider," and "Data Validation" tabs to ensure the consistency and accuracy of the data being submitted?</t>
  </si>
  <si>
    <t>This tab uses the data you submitted in the ACO/AE and Rx Rebates tabs to calculate member month and per member per month (PMPM) spend and trend by ACO/AE and spending category.  Please review the data in this tab prior to submission to ensure that you are comfortable with the 2021 and 2022 PMPM values and trend reflected in the tables below.</t>
  </si>
  <si>
    <t>Checks for Insurer Overall</t>
  </si>
  <si>
    <t>Alignment of member months across ACO/AE, Age/Sex, Line of Business, and Standard Deviation tabs by Market</t>
  </si>
  <si>
    <t>Issue for 2021?</t>
  </si>
  <si>
    <t>Issue for 2022?</t>
  </si>
  <si>
    <t>Alignment of member months across the ACO/AE, and Age/Sex tabs by ICC</t>
  </si>
  <si>
    <t>Reasonableness of PMPMs - is there a greater than 10% difference between ICCs 3 and 4 for any Claims category?</t>
  </si>
  <si>
    <t>Checks by ACO/AE</t>
  </si>
  <si>
    <t>Alignment of truncated and non-truncated spending by ACO/AE across ACO/AE and Age/Sex tabs</t>
  </si>
  <si>
    <t>Is truncated spending at the ACO/AE level greater than or equal to truncated spending for the Insurer Overall?</t>
  </si>
  <si>
    <t>Alignment of Truncated Spending by Market between ACO/AE and Standard Deviation tabs</t>
  </si>
  <si>
    <t>For how many ACO/AEs was there a significant (&gt;10%) increase or decrease in member months attributed from 2021 to 2022?</t>
  </si>
  <si>
    <t>ICC1</t>
  </si>
  <si>
    <t>ICC2</t>
  </si>
  <si>
    <t>ICC3</t>
  </si>
  <si>
    <t>ICC4</t>
  </si>
  <si>
    <t>ICC5</t>
  </si>
  <si>
    <t>ICC7</t>
  </si>
  <si>
    <t>2022 Public Data</t>
  </si>
  <si>
    <t>Change in MM by ACO for ICC2</t>
  </si>
  <si>
    <t>Change in MM by ACO for ICC1</t>
  </si>
  <si>
    <t>Change in MM by ACO for ICC3</t>
  </si>
  <si>
    <t>Change in MM by ACO for ICC4</t>
  </si>
  <si>
    <t>Change in MM by ACO for ICC5</t>
  </si>
  <si>
    <t>Change in MM by ACO for ICC7</t>
  </si>
  <si>
    <t>Check for Truncated and Non-Truncated Spending</t>
  </si>
  <si>
    <t>Check for Member Months</t>
  </si>
  <si>
    <t>Check for Average Truncated Claims Per Member</t>
  </si>
  <si>
    <t>A26</t>
  </si>
  <si>
    <t>A27</t>
  </si>
  <si>
    <t>Average Claims Truncated Per Member</t>
  </si>
  <si>
    <t>Total Claims Excluded because of Truncation (A17) / Total Non-Truncated Claims Expenses (A19)</t>
  </si>
  <si>
    <t>Check for alignment of truncated spending by market</t>
  </si>
  <si>
    <t>Truncated Spending + Dollars Excluded = Total Spending before Truncation is Applied? If not, what is the variation?</t>
  </si>
  <si>
    <t>Response - 2022 Reporting</t>
  </si>
  <si>
    <t>Is the clinical adjustment tool and version the same as that used to report 2020-2021 data in 2022?  If no, did you use the same tool and version to report 2021-2022 data this year?</t>
  </si>
  <si>
    <t>This tab uses the data you submitted in the ACO/AE and Rx Rebates tabs to calculate member month and per member per month (PMPM) spend and trend by market and spending category.  Please review the data in this tab prior to submission to ensure that you are comfortable with the 2021 and 2022 PMPM values and trends reflected in the tables below.</t>
  </si>
  <si>
    <t>[back to top]</t>
  </si>
  <si>
    <t>Is the clinical adjustment tool and version the same as that used to report 2020-2021 data in 2022?</t>
  </si>
  <si>
    <t>Data Validation</t>
  </si>
  <si>
    <t>Age_Sex Factors 2021 and 2022 Tabs</t>
  </si>
  <si>
    <t>Rx Rebates 2021 and 2022</t>
  </si>
  <si>
    <t xml:space="preserve"> The number of unique Rhode Island resident members participating in a plan each month with at least a medical benefit, regardless of whether the member has any paid claims. Insurers will submit information for both 2021 and 2022 in this tab. Member months should be calculated by summing the number of months each member was enrolled in a plan with a medical benefit for one calendar year.  The total member months reported in this tab should equal the total number of members whose TME is being reported.</t>
  </si>
  <si>
    <t xml:space="preserve">OHIC requests insurance carriers to report aggregate information on the premiums earned from their self-insured accounts (e.g., “fees from uninsured plans”).  Insurers should follow the instructions for Part 1, Line 12 on the NAIC SCHE for their Rhode Island situs self-insured accounts.  Insurers must report this for self-insured plans since this is not typically reported in the SHCE filed with OHIC. Insurers will submit data for both 2021 and 2022. </t>
  </si>
  <si>
    <t>Standard Deviation 2021 and 2022 Tabs</t>
  </si>
  <si>
    <t>Age-Sex Factors 2021 and 2022 Tabs</t>
  </si>
  <si>
    <t>Consistent? If not, what is the variation?</t>
  </si>
  <si>
    <t>Initial 30 minutes per calendar month of principal care management services, including creation of a disease-specific care plan by a physician or qualified health care provider.</t>
  </si>
  <si>
    <t>Each additional 30 minutes per calendar month of principal care management services, as carried out by a physician or qualified health care professional.</t>
  </si>
  <si>
    <t>Initial 30 minutes per calendar month of principal care management clinical staff time, as carried out by clinical staff (such as nursing professionals) under the direction and guidance of a physician or qualified health professional.</t>
  </si>
  <si>
    <t>Each additional 30 minutes per calendar month of principal care management clinical staff time, as carried out by clinical staff (such as nursing professionals) under the direction and guidance of a physician or qualified health professional.</t>
  </si>
  <si>
    <t>Chronic care management services with the following required elements: multiple (two or more) chronic conditions expected to last at least 12 months, or until the death of the patient, chronic conditions that place the patient at significant risk of death, acute exacerbation/decompensation, or functional decline, comprehensive care plan established, implemented, revised, or monitored; each 30 minutes by a physician or other qualified health care professional, per calendar month.</t>
  </si>
  <si>
    <t>OFFICE OUTPATIENT VISIT 5 MINUTES (Office or other outpatient visit for the evaluation and management of an established patient, that may not require the presence of a physician or other qualified health care professional.)</t>
  </si>
  <si>
    <t>CHRON CARE MANAGEMENT SRVC 1ST 30 MIN PER MONTH</t>
  </si>
  <si>
    <t>Consistency of Member Months Across TME, Age/Sex, Line of Business, and Standard Deviation Tabs 2021 for Insurer Overall by Market</t>
  </si>
  <si>
    <t>Consistency of Member Months Across TME, Age/Sex, Line of Business, and Standard Deviation Tabs 2022 for Insurer Overall by Market</t>
  </si>
  <si>
    <t>In calculating standard deviation, is spending included for every month the member was attributed, regardless of whether the member has paid claims?</t>
  </si>
  <si>
    <t>HD-TME 2021 and 2022</t>
  </si>
  <si>
    <t>Insurers must submit summary information (e.g., period beginning and end date, information about clinical risk adjustment) and any insurer-specific comments about the TME submission.  Please note that there are separate tabs to submit 2021 and 2022 data.</t>
  </si>
  <si>
    <t>ACO_AE 2021 and 2022</t>
  </si>
  <si>
    <t>Insurers must submit TME by ACO/AE and insurance category, using the spending categories defined in the Implementation Manual.  Please note that there are separate tabs to submit 2021 and 2022 data.</t>
  </si>
  <si>
    <t>Insurers must submit retail and medical pharmaceutical rebates by insurance category.  Please note that there are separate tabs to submit 2021 and 2022 data.</t>
  </si>
  <si>
    <t>Insurers must submit member month information by market enrollment category.  Insurers with self-insured lines of business must also provide Income from Fees of Uninsured Plans reported in the Supplemental Health Care Exhibit.  Please note insurers must submit data for both 2021 and 2022 in this tab.</t>
  </si>
  <si>
    <t>Standard Deviation 2021 and 2022</t>
  </si>
  <si>
    <t>Insurers must submit standard deviation by ACO/AE and insurer.  Please note that there are separate tabs to submit 2021 and 2022 data.</t>
  </si>
  <si>
    <t>Age_Sex Factors 2021 and 2022</t>
  </si>
  <si>
    <t>Insurers must submit spending by age/sex bands and insurance category, including data for member level truncation.   Please note that there are separate tabs to submit 2021 and 2022 data.</t>
  </si>
  <si>
    <t>The definitions below are pulled directly from Version 9.0 of the Implementation Manual.</t>
  </si>
  <si>
    <t>ACO_AE 2021 and 2022 Tabs</t>
  </si>
  <si>
    <t>This tab evaluates whether the member months and spending data the insurer submitted in the ACO_AE, Age-Sex Factors, and Standard Deviation tabs align.  This tab contains validation checks at both the Insurer Overall and ACO/AE levels.  This tab also compares submitted data to other publicly available data sources, such as CMS’ Monthly Medicare Advantage Enrollment data and Supplemental Health Care Exhibit data. 
Insurers are not required to input any data in this tab, but must review it prior to submitting and either correct or explain any areas of misalignment in the data.</t>
  </si>
  <si>
    <t>Total Expenses = Total Unadjusted, Non-Truncated Expenses</t>
  </si>
  <si>
    <t>Table 5: Per Member Per Month (PMPM) TME Trends by Market, Net of Total Rebates (Truncated, Unadjusted)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</si>
</sst>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F800]dddd\,\ mmmm\ dd\,\ yyyy"/>
    <numFmt numFmtId="167" formatCode="0.0%"/>
    <numFmt numFmtId="168" formatCode="&quot;$&quot;#,##0"/>
    <numFmt numFmtId="169" formatCode="&quot;$&quot;#,##0.00"/>
  </numFmts>
  <fonts count="35" x14ac:knownFonts="1">
    <font>
      <sz val="11"/>
      <color theme="1"/>
      <name val="Calibri"/>
      <family val="2"/>
      <scheme val="minor"/>
    </font>
    <font>
      <b/>
      <sz val="11"/>
      <color theme="1"/>
      <name val="Calibri"/>
      <family val="2"/>
      <scheme val="minor"/>
    </font>
    <font>
      <b/>
      <u/>
      <sz val="11"/>
      <color theme="1"/>
      <name val="Calibri"/>
      <family val="2"/>
      <scheme val="minor"/>
    </font>
    <font>
      <sz val="10"/>
      <name val="Calibri"/>
      <family val="2"/>
    </font>
    <font>
      <sz val="11"/>
      <color rgb="FF0070C0"/>
      <name val="Calibri"/>
      <family val="2"/>
      <scheme val="minor"/>
    </font>
    <font>
      <sz val="11"/>
      <color theme="1"/>
      <name val="Calibri"/>
      <family val="2"/>
      <scheme val="minor"/>
    </font>
    <font>
      <i/>
      <sz val="11"/>
      <color theme="1"/>
      <name val="Calibri"/>
      <family val="2"/>
      <scheme val="minor"/>
    </font>
    <font>
      <sz val="11"/>
      <color rgb="FFFF0000"/>
      <name val="Calibri"/>
      <family val="2"/>
      <scheme val="minor"/>
    </font>
    <font>
      <b/>
      <sz val="11"/>
      <name val="Calibri"/>
      <family val="2"/>
      <scheme val="minor"/>
    </font>
    <font>
      <b/>
      <u/>
      <sz val="11"/>
      <color rgb="FFFF0000"/>
      <name val="Calibri"/>
      <family val="2"/>
      <scheme val="minor"/>
    </font>
    <font>
      <sz val="11"/>
      <name val="Calibri"/>
      <family val="2"/>
      <scheme val="minor"/>
    </font>
    <font>
      <sz val="11"/>
      <color rgb="FFC00000"/>
      <name val="Calibri"/>
      <family val="2"/>
      <scheme val="minor"/>
    </font>
    <font>
      <b/>
      <sz val="11"/>
      <color theme="0"/>
      <name val="Calibri"/>
      <family val="2"/>
      <scheme val="minor"/>
    </font>
    <font>
      <i/>
      <sz val="11"/>
      <color rgb="FFC00000"/>
      <name val="Calibri"/>
      <family val="2"/>
      <scheme val="minor"/>
    </font>
    <font>
      <i/>
      <sz val="11"/>
      <name val="Calibri"/>
      <family val="2"/>
      <scheme val="minor"/>
    </font>
    <font>
      <b/>
      <sz val="12"/>
      <color theme="1"/>
      <name val="Calibri"/>
      <family val="2"/>
      <scheme val="minor"/>
    </font>
    <font>
      <sz val="11"/>
      <color theme="5"/>
      <name val="Calibri"/>
      <family val="2"/>
      <scheme val="minor"/>
    </font>
    <font>
      <b/>
      <i/>
      <sz val="11"/>
      <color theme="1"/>
      <name val="Calibri"/>
      <family val="2"/>
      <scheme val="minor"/>
    </font>
    <font>
      <sz val="11"/>
      <color theme="0"/>
      <name val="Calibri"/>
      <family val="2"/>
      <scheme val="minor"/>
    </font>
    <font>
      <b/>
      <sz val="14"/>
      <color theme="1"/>
      <name val="Calibri"/>
      <family val="2"/>
      <scheme val="minor"/>
    </font>
    <font>
      <sz val="12"/>
      <color theme="1"/>
      <name val="Calibri"/>
      <family val="2"/>
      <scheme val="minor"/>
    </font>
    <font>
      <sz val="8"/>
      <name val="Calibri"/>
      <family val="2"/>
      <scheme val="minor"/>
    </font>
    <font>
      <b/>
      <sz val="11"/>
      <color rgb="FF0070C0"/>
      <name val="Calibri"/>
      <family val="2"/>
      <scheme val="minor"/>
    </font>
    <font>
      <i/>
      <sz val="11"/>
      <color rgb="FF0070C0"/>
      <name val="Calibri"/>
      <family val="2"/>
      <scheme val="minor"/>
    </font>
    <font>
      <b/>
      <sz val="11"/>
      <color rgb="FFC00000"/>
      <name val="Calibri"/>
      <family val="2"/>
      <scheme val="minor"/>
    </font>
    <font>
      <u/>
      <sz val="11"/>
      <color theme="1"/>
      <name val="Calibri"/>
      <family val="2"/>
      <scheme val="minor"/>
    </font>
    <font>
      <b/>
      <sz val="11"/>
      <color rgb="FFFFFFFF"/>
      <name val="Calibri"/>
      <family val="2"/>
      <scheme val="minor"/>
    </font>
    <font>
      <b/>
      <i/>
      <sz val="11"/>
      <color rgb="FFC00000"/>
      <name val="Calibri"/>
      <family val="2"/>
      <scheme val="minor"/>
    </font>
    <font>
      <sz val="11"/>
      <color rgb="FF000000"/>
      <name val="Calibri"/>
      <family val="2"/>
      <scheme val="minor"/>
    </font>
    <font>
      <b/>
      <sz val="18"/>
      <name val="Calibri"/>
      <family val="2"/>
      <scheme val="minor"/>
    </font>
    <font>
      <b/>
      <sz val="20"/>
      <color theme="1"/>
      <name val="Calibri"/>
      <family val="2"/>
      <scheme val="minor"/>
    </font>
    <font>
      <b/>
      <sz val="16"/>
      <color theme="1"/>
      <name val="Calibri"/>
      <family val="2"/>
      <scheme val="minor"/>
    </font>
    <font>
      <u/>
      <sz val="11"/>
      <color theme="10"/>
      <name val="Calibri"/>
      <family val="2"/>
      <scheme val="minor"/>
    </font>
    <font>
      <b/>
      <sz val="18"/>
      <color theme="1"/>
      <name val="Calibri"/>
      <family val="2"/>
      <scheme val="minor"/>
    </font>
    <font>
      <sz val="11"/>
      <color rgb="FF0070C0"/>
      <name val="Calibri"/>
      <family val="2"/>
    </font>
  </fonts>
  <fills count="2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4"/>
        <bgColor indexed="64"/>
      </patternFill>
    </fill>
    <fill>
      <patternFill patternType="solid">
        <fgColor theme="3"/>
        <bgColor indexed="64"/>
      </patternFill>
    </fill>
    <fill>
      <patternFill patternType="solid">
        <fgColor theme="8"/>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9" tint="-0.249977111117893"/>
        <bgColor indexed="64"/>
      </patternFill>
    </fill>
    <fill>
      <patternFill patternType="solid">
        <fgColor theme="1"/>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9"/>
        <bgColor indexed="64"/>
      </patternFill>
    </fill>
    <fill>
      <patternFill patternType="solid">
        <fgColor theme="3" tint="0.39997558519241921"/>
        <bgColor indexed="64"/>
      </patternFill>
    </fill>
    <fill>
      <patternFill patternType="solid">
        <fgColor rgb="FFFFFFFF"/>
        <bgColor indexed="64"/>
      </patternFill>
    </fill>
    <fill>
      <patternFill patternType="solid">
        <fgColor rgb="FF00B050"/>
        <bgColor indexed="64"/>
      </patternFill>
    </fill>
    <fill>
      <patternFill patternType="solid">
        <fgColor theme="4" tint="0.39997558519241921"/>
        <bgColor indexed="64"/>
      </patternFill>
    </fill>
    <fill>
      <patternFill patternType="solid">
        <fgColor rgb="FFFFFFCC"/>
        <bgColor indexed="64"/>
      </patternFill>
    </fill>
    <fill>
      <patternFill patternType="solid">
        <fgColor rgb="FFFFFF0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14999847407452621"/>
      </left>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rgb="FF000000"/>
      </bottom>
      <diagonal/>
    </border>
    <border>
      <left/>
      <right/>
      <top style="thin">
        <color theme="4"/>
      </top>
      <bottom/>
      <diagonal/>
    </border>
    <border>
      <left style="thin">
        <color indexed="64"/>
      </left>
      <right style="thin">
        <color indexed="64"/>
      </right>
      <top/>
      <bottom/>
      <diagonal/>
    </border>
    <border>
      <left style="thin">
        <color theme="4"/>
      </left>
      <right/>
      <top/>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s>
  <cellStyleXfs count="7">
    <xf numFmtId="0" fontId="0" fillId="0" borderId="0"/>
    <xf numFmtId="0" fontId="3" fillId="0" borderId="0"/>
    <xf numFmtId="43" fontId="3"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32" fillId="0" borderId="0" applyNumberFormat="0" applyFill="0" applyBorder="0" applyAlignment="0" applyProtection="0"/>
  </cellStyleXfs>
  <cellXfs count="621">
    <xf numFmtId="0" fontId="0" fillId="0" borderId="0" xfId="0"/>
    <xf numFmtId="0" fontId="1" fillId="0" borderId="0" xfId="0" applyFont="1"/>
    <xf numFmtId="3" fontId="0" fillId="0" borderId="0" xfId="0" applyNumberFormat="1"/>
    <xf numFmtId="0" fontId="0" fillId="0" borderId="1" xfId="0" applyBorder="1" applyAlignment="1">
      <alignment horizontal="center"/>
    </xf>
    <xf numFmtId="0" fontId="0" fillId="2" borderId="1" xfId="0" applyFill="1" applyBorder="1" applyAlignment="1" applyProtection="1">
      <alignment horizontal="center" vertical="center"/>
      <protection locked="0"/>
    </xf>
    <xf numFmtId="0" fontId="7" fillId="0" borderId="0" xfId="0" applyFont="1"/>
    <xf numFmtId="0" fontId="0" fillId="0" borderId="1" xfId="0" applyBorder="1"/>
    <xf numFmtId="0" fontId="0" fillId="0" borderId="1" xfId="0" applyBorder="1" applyAlignment="1">
      <alignment wrapText="1"/>
    </xf>
    <xf numFmtId="0" fontId="0" fillId="0" borderId="1" xfId="0" applyBorder="1" applyProtection="1">
      <protection locked="0"/>
    </xf>
    <xf numFmtId="0" fontId="0" fillId="0" borderId="0" xfId="0" applyProtection="1">
      <protection locked="0"/>
    </xf>
    <xf numFmtId="0" fontId="0" fillId="0" borderId="0" xfId="0" applyAlignment="1">
      <alignment horizontal="center"/>
    </xf>
    <xf numFmtId="0" fontId="0" fillId="0" borderId="0" xfId="0" applyAlignment="1">
      <alignment horizontal="center" wrapText="1"/>
    </xf>
    <xf numFmtId="0" fontId="11" fillId="0" borderId="0" xfId="0" applyFont="1"/>
    <xf numFmtId="0" fontId="2" fillId="0" borderId="0" xfId="0" applyFont="1"/>
    <xf numFmtId="3" fontId="0" fillId="0" borderId="1" xfId="0" applyNumberFormat="1" applyBorder="1" applyAlignment="1">
      <alignment horizontal="center"/>
    </xf>
    <xf numFmtId="0" fontId="0" fillId="0" borderId="0" xfId="0" applyAlignment="1">
      <alignment wrapText="1"/>
    </xf>
    <xf numFmtId="1" fontId="0" fillId="0" borderId="0" xfId="0" applyNumberFormat="1" applyAlignment="1">
      <alignment horizontal="center"/>
    </xf>
    <xf numFmtId="0" fontId="0" fillId="0" borderId="0" xfId="0" applyAlignment="1">
      <alignment horizontal="center" vertical="center"/>
    </xf>
    <xf numFmtId="166" fontId="0" fillId="0" borderId="0" xfId="0" applyNumberFormat="1" applyAlignment="1">
      <alignment horizontal="center" vertical="center"/>
    </xf>
    <xf numFmtId="0" fontId="0" fillId="3" borderId="0" xfId="0" applyFill="1"/>
    <xf numFmtId="49" fontId="0" fillId="0" borderId="0" xfId="0" applyNumberFormat="1"/>
    <xf numFmtId="0" fontId="6" fillId="0" borderId="0" xfId="0" applyFont="1"/>
    <xf numFmtId="0" fontId="10" fillId="0" borderId="1" xfId="0" applyFont="1" applyBorder="1" applyAlignment="1">
      <alignment horizontal="center"/>
    </xf>
    <xf numFmtId="0" fontId="10" fillId="0" borderId="0" xfId="0" applyFont="1"/>
    <xf numFmtId="0" fontId="1" fillId="0" borderId="0" xfId="0" applyFont="1" applyAlignment="1">
      <alignment horizontal="right"/>
    </xf>
    <xf numFmtId="0" fontId="1" fillId="0" borderId="0" xfId="0" applyFont="1" applyAlignment="1">
      <alignment horizontal="left" vertical="top"/>
    </xf>
    <xf numFmtId="0" fontId="0" fillId="0" borderId="0" xfId="0" applyAlignment="1">
      <alignment horizontal="left"/>
    </xf>
    <xf numFmtId="0" fontId="0" fillId="0" borderId="1" xfId="0" applyBorder="1" applyAlignment="1">
      <alignment horizontal="center" wrapText="1"/>
    </xf>
    <xf numFmtId="0" fontId="0" fillId="0" borderId="1" xfId="0" applyBorder="1" applyAlignment="1">
      <alignment horizontal="center" vertical="top" wrapText="1"/>
    </xf>
    <xf numFmtId="9" fontId="0" fillId="0" borderId="1" xfId="5" applyFont="1" applyBorder="1" applyAlignment="1">
      <alignment horizontal="center"/>
    </xf>
    <xf numFmtId="3" fontId="7" fillId="0" borderId="0" xfId="0" applyNumberFormat="1" applyFont="1" applyAlignment="1">
      <alignment wrapText="1"/>
    </xf>
    <xf numFmtId="0" fontId="1" fillId="0" borderId="0" xfId="0" applyFont="1" applyAlignment="1">
      <alignment horizontal="center"/>
    </xf>
    <xf numFmtId="0" fontId="0" fillId="0" borderId="0" xfId="0" applyAlignment="1">
      <alignment horizontal="left" vertical="top" wrapText="1"/>
    </xf>
    <xf numFmtId="0" fontId="0" fillId="0" borderId="0" xfId="0" applyProtection="1">
      <protection hidden="1"/>
    </xf>
    <xf numFmtId="0" fontId="2" fillId="0" borderId="0" xfId="0" applyFont="1" applyProtection="1">
      <protection hidden="1"/>
    </xf>
    <xf numFmtId="0" fontId="1" fillId="0" borderId="1" xfId="0" applyFont="1" applyBorder="1" applyAlignment="1" applyProtection="1">
      <alignment horizontal="center"/>
      <protection hidden="1"/>
    </xf>
    <xf numFmtId="0" fontId="1" fillId="0" borderId="8" xfId="0" applyFont="1" applyBorder="1" applyAlignment="1" applyProtection="1">
      <alignment horizontal="center" wrapText="1"/>
      <protection hidden="1"/>
    </xf>
    <xf numFmtId="0" fontId="1" fillId="0" borderId="13" xfId="0" applyFont="1" applyBorder="1" applyAlignment="1" applyProtection="1">
      <alignment horizontal="center" wrapText="1"/>
      <protection hidden="1"/>
    </xf>
    <xf numFmtId="0" fontId="1" fillId="0" borderId="1" xfId="0" applyFont="1" applyBorder="1" applyAlignment="1" applyProtection="1">
      <alignment horizontal="center" wrapText="1"/>
      <protection hidden="1"/>
    </xf>
    <xf numFmtId="0" fontId="0" fillId="0" borderId="1" xfId="0" applyBorder="1" applyProtection="1">
      <protection hidden="1"/>
    </xf>
    <xf numFmtId="0" fontId="1" fillId="0" borderId="8" xfId="0" applyFont="1" applyBorder="1" applyAlignment="1" applyProtection="1">
      <alignment horizontal="center"/>
      <protection hidden="1"/>
    </xf>
    <xf numFmtId="0" fontId="13" fillId="0" borderId="0" xfId="0" applyFont="1" applyProtection="1">
      <protection hidden="1"/>
    </xf>
    <xf numFmtId="0" fontId="15" fillId="0" borderId="0" xfId="0" applyFont="1"/>
    <xf numFmtId="44" fontId="0" fillId="0" borderId="1" xfId="3" applyFont="1" applyBorder="1" applyAlignment="1">
      <alignment horizontal="center" vertical="center"/>
    </xf>
    <xf numFmtId="44" fontId="0" fillId="0" borderId="1" xfId="3" applyFont="1" applyBorder="1" applyAlignment="1">
      <alignment horizontal="center"/>
    </xf>
    <xf numFmtId="44" fontId="0" fillId="0" borderId="1" xfId="0" applyNumberFormat="1" applyBorder="1" applyAlignment="1">
      <alignment horizontal="center"/>
    </xf>
    <xf numFmtId="0" fontId="6" fillId="0" borderId="0" xfId="0" applyFont="1" applyAlignment="1">
      <alignment horizontal="left" indent="7"/>
    </xf>
    <xf numFmtId="0" fontId="12" fillId="7" borderId="1" xfId="0" applyFont="1" applyFill="1" applyBorder="1" applyAlignment="1">
      <alignment wrapText="1"/>
    </xf>
    <xf numFmtId="0" fontId="12" fillId="10" borderId="17" xfId="0" applyFont="1" applyFill="1" applyBorder="1" applyAlignment="1">
      <alignment wrapText="1"/>
    </xf>
    <xf numFmtId="0" fontId="12" fillId="10" borderId="1" xfId="0" applyFont="1" applyFill="1" applyBorder="1" applyAlignment="1">
      <alignment wrapText="1"/>
    </xf>
    <xf numFmtId="164" fontId="6" fillId="0" borderId="2" xfId="3" applyNumberFormat="1" applyFont="1" applyBorder="1" applyProtection="1">
      <protection locked="0"/>
    </xf>
    <xf numFmtId="3" fontId="0" fillId="0" borderId="2" xfId="0" applyNumberFormat="1" applyBorder="1" applyProtection="1">
      <protection locked="0"/>
    </xf>
    <xf numFmtId="0" fontId="0" fillId="0" borderId="3" xfId="0" applyBorder="1" applyProtection="1">
      <protection locked="0"/>
    </xf>
    <xf numFmtId="0" fontId="0" fillId="0" borderId="12" xfId="0" applyBorder="1" applyAlignment="1">
      <alignment wrapText="1"/>
    </xf>
    <xf numFmtId="0" fontId="0" fillId="0" borderId="12" xfId="0" applyBorder="1" applyAlignment="1">
      <alignment horizontal="left" wrapText="1" indent="1"/>
    </xf>
    <xf numFmtId="0" fontId="0" fillId="0" borderId="12" xfId="0" applyBorder="1" applyAlignment="1">
      <alignment horizontal="left" wrapText="1"/>
    </xf>
    <xf numFmtId="0" fontId="0" fillId="6" borderId="12" xfId="0" applyFill="1" applyBorder="1" applyAlignment="1">
      <alignment wrapText="1"/>
    </xf>
    <xf numFmtId="0" fontId="12" fillId="5" borderId="8" xfId="0" applyFont="1" applyFill="1" applyBorder="1" applyAlignment="1">
      <alignment horizontal="center"/>
    </xf>
    <xf numFmtId="0" fontId="12" fillId="5" borderId="13" xfId="0" applyFont="1" applyFill="1" applyBorder="1" applyAlignment="1">
      <alignment horizontal="center"/>
    </xf>
    <xf numFmtId="0" fontId="12" fillId="5" borderId="6" xfId="0" applyFont="1" applyFill="1" applyBorder="1" applyAlignment="1">
      <alignment horizontal="center"/>
    </xf>
    <xf numFmtId="0" fontId="0" fillId="6" borderId="5" xfId="0" applyFill="1" applyBorder="1" applyAlignment="1">
      <alignment wrapText="1"/>
    </xf>
    <xf numFmtId="0" fontId="12" fillId="8" borderId="8" xfId="0" applyFont="1" applyFill="1" applyBorder="1" applyAlignment="1">
      <alignment horizontal="center"/>
    </xf>
    <xf numFmtId="0" fontId="12" fillId="8" borderId="13" xfId="0" applyFont="1" applyFill="1" applyBorder="1" applyAlignment="1">
      <alignment horizontal="center"/>
    </xf>
    <xf numFmtId="0" fontId="12" fillId="8" borderId="6" xfId="0" applyFont="1" applyFill="1" applyBorder="1" applyAlignment="1">
      <alignment horizontal="center"/>
    </xf>
    <xf numFmtId="0" fontId="12" fillId="7" borderId="8" xfId="0" applyFont="1" applyFill="1" applyBorder="1" applyAlignment="1">
      <alignment horizontal="center"/>
    </xf>
    <xf numFmtId="0" fontId="12" fillId="7" borderId="13" xfId="0" applyFont="1" applyFill="1" applyBorder="1" applyAlignment="1">
      <alignment horizontal="center"/>
    </xf>
    <xf numFmtId="0" fontId="12" fillId="7" borderId="6" xfId="0" applyFont="1" applyFill="1" applyBorder="1" applyAlignment="1">
      <alignment horizontal="center"/>
    </xf>
    <xf numFmtId="0" fontId="12" fillId="9" borderId="8" xfId="0" applyFont="1" applyFill="1" applyBorder="1" applyAlignment="1">
      <alignment horizontal="center"/>
    </xf>
    <xf numFmtId="0" fontId="12" fillId="9" borderId="13" xfId="0" applyFont="1" applyFill="1" applyBorder="1" applyAlignment="1">
      <alignment horizontal="center"/>
    </xf>
    <xf numFmtId="0" fontId="12" fillId="9" borderId="6" xfId="0" applyFont="1" applyFill="1" applyBorder="1" applyAlignment="1">
      <alignment horizontal="center"/>
    </xf>
    <xf numFmtId="0" fontId="12" fillId="10" borderId="8" xfId="0" applyFont="1" applyFill="1" applyBorder="1" applyAlignment="1">
      <alignment horizontal="center"/>
    </xf>
    <xf numFmtId="0" fontId="12" fillId="10" borderId="13" xfId="0" applyFont="1" applyFill="1" applyBorder="1" applyAlignment="1">
      <alignment horizontal="center"/>
    </xf>
    <xf numFmtId="0" fontId="12" fillId="10" borderId="6" xfId="0" applyFont="1" applyFill="1" applyBorder="1" applyAlignment="1">
      <alignment horizontal="center"/>
    </xf>
    <xf numFmtId="0" fontId="12" fillId="11" borderId="8" xfId="0" applyFont="1" applyFill="1" applyBorder="1" applyAlignment="1">
      <alignment horizontal="center"/>
    </xf>
    <xf numFmtId="0" fontId="12" fillId="11" borderId="13" xfId="0" applyFont="1" applyFill="1" applyBorder="1" applyAlignment="1">
      <alignment horizontal="center"/>
    </xf>
    <xf numFmtId="0" fontId="12" fillId="11" borderId="6" xfId="0" applyFont="1" applyFill="1" applyBorder="1" applyAlignment="1">
      <alignment horizontal="center"/>
    </xf>
    <xf numFmtId="0" fontId="12" fillId="4" borderId="8" xfId="0" applyFont="1" applyFill="1" applyBorder="1" applyAlignment="1">
      <alignment horizontal="center"/>
    </xf>
    <xf numFmtId="0" fontId="12" fillId="4" borderId="13" xfId="0" applyFont="1" applyFill="1" applyBorder="1" applyAlignment="1">
      <alignment horizontal="center"/>
    </xf>
    <xf numFmtId="0" fontId="12" fillId="4" borderId="6" xfId="0" applyFont="1" applyFill="1" applyBorder="1" applyAlignment="1">
      <alignment horizontal="center"/>
    </xf>
    <xf numFmtId="0" fontId="12" fillId="12" borderId="8" xfId="0" applyFont="1" applyFill="1" applyBorder="1" applyAlignment="1">
      <alignment horizontal="center"/>
    </xf>
    <xf numFmtId="0" fontId="12" fillId="12" borderId="13" xfId="0" applyFont="1" applyFill="1" applyBorder="1" applyAlignment="1">
      <alignment horizontal="center"/>
    </xf>
    <xf numFmtId="0" fontId="12" fillId="12" borderId="6" xfId="0" applyFont="1" applyFill="1" applyBorder="1" applyAlignment="1">
      <alignment horizontal="center"/>
    </xf>
    <xf numFmtId="0" fontId="12" fillId="13" borderId="8" xfId="0" applyFont="1" applyFill="1" applyBorder="1" applyAlignment="1">
      <alignment horizontal="center"/>
    </xf>
    <xf numFmtId="0" fontId="12" fillId="13" borderId="13" xfId="0" applyFont="1" applyFill="1" applyBorder="1" applyAlignment="1">
      <alignment horizontal="center"/>
    </xf>
    <xf numFmtId="0" fontId="12" fillId="13" borderId="6" xfId="0" applyFont="1" applyFill="1" applyBorder="1" applyAlignment="1">
      <alignment horizontal="center"/>
    </xf>
    <xf numFmtId="0" fontId="12" fillId="14" borderId="8" xfId="0" applyFont="1" applyFill="1" applyBorder="1" applyAlignment="1">
      <alignment horizontal="center"/>
    </xf>
    <xf numFmtId="0" fontId="12" fillId="14" borderId="13" xfId="0" applyFont="1" applyFill="1" applyBorder="1" applyAlignment="1">
      <alignment horizontal="center"/>
    </xf>
    <xf numFmtId="0" fontId="12" fillId="14" borderId="6" xfId="0" applyFont="1" applyFill="1" applyBorder="1" applyAlignment="1">
      <alignment horizontal="center"/>
    </xf>
    <xf numFmtId="44" fontId="0" fillId="0" borderId="1" xfId="3" applyFont="1" applyBorder="1"/>
    <xf numFmtId="44" fontId="0" fillId="6" borderId="1" xfId="3" applyFont="1" applyFill="1" applyBorder="1"/>
    <xf numFmtId="10" fontId="0" fillId="0" borderId="2" xfId="5" applyNumberFormat="1" applyFont="1" applyBorder="1"/>
    <xf numFmtId="10" fontId="0" fillId="6" borderId="2" xfId="5" applyNumberFormat="1" applyFont="1" applyFill="1" applyBorder="1"/>
    <xf numFmtId="10" fontId="0" fillId="6" borderId="3" xfId="5" applyNumberFormat="1" applyFont="1" applyFill="1" applyBorder="1"/>
    <xf numFmtId="0" fontId="9" fillId="0" borderId="0" xfId="0" applyFont="1"/>
    <xf numFmtId="0" fontId="2" fillId="0" borderId="22" xfId="0" applyFont="1" applyBorder="1"/>
    <xf numFmtId="0" fontId="16" fillId="0" borderId="0" xfId="0" applyFont="1"/>
    <xf numFmtId="0" fontId="16" fillId="0" borderId="0" xfId="0" applyFont="1" applyAlignment="1">
      <alignment horizontal="right"/>
    </xf>
    <xf numFmtId="0" fontId="0" fillId="0" borderId="6" xfId="0" applyBorder="1"/>
    <xf numFmtId="0" fontId="0" fillId="0" borderId="8" xfId="0" applyBorder="1"/>
    <xf numFmtId="44" fontId="0" fillId="0" borderId="1" xfId="3" applyFont="1" applyFill="1" applyBorder="1"/>
    <xf numFmtId="10" fontId="0" fillId="0" borderId="2" xfId="5" applyNumberFormat="1" applyFont="1" applyFill="1" applyBorder="1"/>
    <xf numFmtId="0" fontId="0" fillId="0" borderId="12" xfId="0" applyBorder="1" applyAlignment="1">
      <alignment horizontal="left" wrapText="1" indent="2"/>
    </xf>
    <xf numFmtId="0" fontId="1" fillId="6" borderId="12" xfId="0" applyFont="1" applyFill="1" applyBorder="1" applyAlignment="1">
      <alignment wrapText="1"/>
    </xf>
    <xf numFmtId="44" fontId="1" fillId="6" borderId="1" xfId="3" applyFont="1" applyFill="1" applyBorder="1"/>
    <xf numFmtId="10" fontId="1" fillId="6" borderId="2" xfId="5" applyNumberFormat="1" applyFont="1" applyFill="1" applyBorder="1"/>
    <xf numFmtId="0" fontId="0" fillId="0" borderId="1" xfId="3" applyNumberFormat="1" applyFont="1" applyFill="1" applyBorder="1"/>
    <xf numFmtId="0" fontId="12" fillId="15" borderId="12" xfId="0" applyFont="1" applyFill="1" applyBorder="1" applyAlignment="1">
      <alignment wrapText="1"/>
    </xf>
    <xf numFmtId="44" fontId="12" fillId="15" borderId="1" xfId="3" applyFont="1" applyFill="1" applyBorder="1"/>
    <xf numFmtId="10" fontId="12" fillId="15" borderId="2" xfId="5" applyNumberFormat="1" applyFont="1" applyFill="1" applyBorder="1"/>
    <xf numFmtId="0" fontId="12" fillId="15" borderId="5" xfId="0" applyFont="1" applyFill="1" applyBorder="1" applyAlignment="1">
      <alignment wrapText="1"/>
    </xf>
    <xf numFmtId="44" fontId="12" fillId="15" borderId="9" xfId="3" applyFont="1" applyFill="1" applyBorder="1"/>
    <xf numFmtId="44" fontId="12" fillId="16" borderId="1" xfId="3" applyFont="1" applyFill="1" applyBorder="1"/>
    <xf numFmtId="10" fontId="12" fillId="16" borderId="2" xfId="5" applyNumberFormat="1" applyFont="1" applyFill="1" applyBorder="1"/>
    <xf numFmtId="44" fontId="12" fillId="16" borderId="9" xfId="3" applyFont="1" applyFill="1" applyBorder="1"/>
    <xf numFmtId="10" fontId="12" fillId="16" borderId="3" xfId="5" applyNumberFormat="1" applyFont="1" applyFill="1" applyBorder="1"/>
    <xf numFmtId="0" fontId="0" fillId="0" borderId="1" xfId="0" applyBorder="1" applyAlignment="1">
      <alignment horizontal="right"/>
    </xf>
    <xf numFmtId="14" fontId="0" fillId="0" borderId="1" xfId="0" applyNumberFormat="1" applyBorder="1" applyAlignment="1">
      <alignment horizontal="right"/>
    </xf>
    <xf numFmtId="0" fontId="14" fillId="0" borderId="0" xfId="0" applyFont="1"/>
    <xf numFmtId="44" fontId="0" fillId="0" borderId="12" xfId="3" applyFont="1" applyBorder="1"/>
    <xf numFmtId="44" fontId="0" fillId="0" borderId="18" xfId="3" applyFont="1" applyBorder="1"/>
    <xf numFmtId="43" fontId="0" fillId="0" borderId="17" xfId="4" applyFont="1" applyBorder="1"/>
    <xf numFmtId="43" fontId="0" fillId="6" borderId="17" xfId="4" applyFont="1" applyFill="1" applyBorder="1"/>
    <xf numFmtId="43" fontId="0" fillId="6" borderId="19" xfId="4" applyFont="1" applyFill="1" applyBorder="1"/>
    <xf numFmtId="44" fontId="0" fillId="6" borderId="12" xfId="3" applyFont="1" applyFill="1" applyBorder="1"/>
    <xf numFmtId="44" fontId="0" fillId="6" borderId="2" xfId="3" applyFont="1" applyFill="1" applyBorder="1"/>
    <xf numFmtId="44" fontId="0" fillId="6" borderId="18" xfId="3" applyFont="1" applyFill="1" applyBorder="1"/>
    <xf numFmtId="44" fontId="0" fillId="6" borderId="20" xfId="3" applyFont="1" applyFill="1" applyBorder="1"/>
    <xf numFmtId="44" fontId="0" fillId="6" borderId="25" xfId="3" applyFont="1" applyFill="1" applyBorder="1"/>
    <xf numFmtId="44" fontId="0" fillId="6" borderId="21" xfId="3" applyFont="1" applyFill="1" applyBorder="1"/>
    <xf numFmtId="0" fontId="18" fillId="0" borderId="0" xfId="0" applyFont="1"/>
    <xf numFmtId="44" fontId="0" fillId="0" borderId="2" xfId="3" applyFont="1" applyBorder="1"/>
    <xf numFmtId="0" fontId="0" fillId="0" borderId="18" xfId="0" applyBorder="1" applyAlignment="1">
      <alignment wrapText="1"/>
    </xf>
    <xf numFmtId="0" fontId="0" fillId="6" borderId="18" xfId="0" applyFill="1" applyBorder="1" applyAlignment="1">
      <alignment wrapText="1"/>
    </xf>
    <xf numFmtId="0" fontId="12" fillId="9" borderId="18" xfId="0" applyFont="1" applyFill="1" applyBorder="1"/>
    <xf numFmtId="0" fontId="1" fillId="0" borderId="1" xfId="0" applyFont="1" applyBorder="1" applyAlignment="1">
      <alignment vertical="top"/>
    </xf>
    <xf numFmtId="0" fontId="0" fillId="0" borderId="1" xfId="0" applyBorder="1" applyAlignment="1">
      <alignment vertical="top"/>
    </xf>
    <xf numFmtId="0" fontId="19" fillId="0" borderId="0" xfId="0" applyFont="1"/>
    <xf numFmtId="0" fontId="12" fillId="7" borderId="1" xfId="0" applyFont="1" applyFill="1" applyBorder="1" applyAlignment="1">
      <alignment horizontal="center" vertical="center" wrapText="1"/>
    </xf>
    <xf numFmtId="0" fontId="16" fillId="0" borderId="0" xfId="0" applyFont="1" applyAlignment="1">
      <alignment horizontal="left" indent="2"/>
    </xf>
    <xf numFmtId="0" fontId="4" fillId="0" borderId="0" xfId="0" applyFont="1"/>
    <xf numFmtId="0" fontId="0" fillId="0" borderId="2" xfId="0" applyBorder="1" applyAlignment="1">
      <alignment horizontal="center"/>
    </xf>
    <xf numFmtId="0" fontId="12" fillId="7" borderId="8" xfId="0" applyFont="1" applyFill="1" applyBorder="1" applyAlignment="1">
      <alignment horizontal="center" vertical="center" wrapText="1"/>
    </xf>
    <xf numFmtId="0" fontId="12" fillId="7" borderId="13"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wrapText="1"/>
    </xf>
    <xf numFmtId="0" fontId="1" fillId="7" borderId="1" xfId="0" applyFont="1" applyFill="1" applyBorder="1" applyAlignment="1">
      <alignment horizontal="center" vertical="center" wrapText="1"/>
    </xf>
    <xf numFmtId="0" fontId="1" fillId="7" borderId="13" xfId="0" applyFont="1" applyFill="1" applyBorder="1" applyAlignment="1">
      <alignment horizontal="center" vertical="center" wrapText="1"/>
    </xf>
    <xf numFmtId="2" fontId="0" fillId="0" borderId="0" xfId="0" applyNumberFormat="1" applyAlignment="1">
      <alignment horizontal="center"/>
    </xf>
    <xf numFmtId="1" fontId="0" fillId="0" borderId="0" xfId="0" applyNumberFormat="1"/>
    <xf numFmtId="0" fontId="0" fillId="0" borderId="0" xfId="0" applyAlignment="1" applyProtection="1">
      <alignment horizontal="center"/>
      <protection locked="0"/>
    </xf>
    <xf numFmtId="3" fontId="0" fillId="0" borderId="0" xfId="0" applyNumberFormat="1" applyProtection="1">
      <protection locked="0"/>
    </xf>
    <xf numFmtId="2" fontId="0" fillId="0" borderId="0" xfId="0" applyNumberFormat="1" applyAlignment="1" applyProtection="1">
      <alignment horizontal="center"/>
      <protection locked="0"/>
    </xf>
    <xf numFmtId="1" fontId="0" fillId="0" borderId="0" xfId="0" applyNumberFormat="1" applyProtection="1">
      <protection locked="0"/>
    </xf>
    <xf numFmtId="0" fontId="7" fillId="0" borderId="0" xfId="0" applyFont="1" applyProtection="1">
      <protection locked="0"/>
    </xf>
    <xf numFmtId="0" fontId="0" fillId="0" borderId="1" xfId="0" applyBorder="1" applyAlignment="1">
      <alignment horizontal="left" vertical="top"/>
    </xf>
    <xf numFmtId="0" fontId="10" fillId="0" borderId="1" xfId="0" applyFont="1" applyBorder="1" applyAlignment="1">
      <alignment horizontal="left" vertical="top" wrapText="1"/>
    </xf>
    <xf numFmtId="0" fontId="0" fillId="0" borderId="1" xfId="0" applyBorder="1" applyAlignment="1">
      <alignment horizontal="left" vertical="top" wrapText="1"/>
    </xf>
    <xf numFmtId="9" fontId="0" fillId="0" borderId="17" xfId="5" applyFont="1" applyBorder="1"/>
    <xf numFmtId="9" fontId="0" fillId="0" borderId="12" xfId="5" applyFont="1" applyBorder="1"/>
    <xf numFmtId="9" fontId="0" fillId="0" borderId="1" xfId="5" applyFont="1" applyBorder="1"/>
    <xf numFmtId="9" fontId="0" fillId="0" borderId="2" xfId="5" applyFont="1" applyBorder="1"/>
    <xf numFmtId="9" fontId="0" fillId="0" borderId="18" xfId="5" applyFont="1" applyBorder="1"/>
    <xf numFmtId="9" fontId="0" fillId="6" borderId="17" xfId="5" applyFont="1" applyFill="1" applyBorder="1"/>
    <xf numFmtId="9" fontId="0" fillId="6" borderId="12" xfId="5" applyFont="1" applyFill="1" applyBorder="1"/>
    <xf numFmtId="9" fontId="0" fillId="6" borderId="1" xfId="5" applyFont="1" applyFill="1" applyBorder="1"/>
    <xf numFmtId="9" fontId="0" fillId="6" borderId="2" xfId="5" applyFont="1" applyFill="1" applyBorder="1"/>
    <xf numFmtId="9" fontId="0" fillId="6" borderId="18" xfId="5" applyFont="1" applyFill="1" applyBorder="1"/>
    <xf numFmtId="0" fontId="10" fillId="0" borderId="2" xfId="0" applyFont="1" applyBorder="1" applyAlignment="1" applyProtection="1">
      <alignment vertical="center"/>
      <protection locked="0"/>
    </xf>
    <xf numFmtId="0" fontId="0" fillId="0" borderId="12" xfId="0" applyBorder="1" applyAlignment="1" applyProtection="1">
      <alignment horizontal="center"/>
      <protection locked="0"/>
    </xf>
    <xf numFmtId="0" fontId="0" fillId="0" borderId="5" xfId="0" applyBorder="1" applyAlignment="1" applyProtection="1">
      <alignment horizontal="center"/>
      <protection locked="0"/>
    </xf>
    <xf numFmtId="3" fontId="0" fillId="0" borderId="3" xfId="0" applyNumberFormat="1" applyBorder="1" applyProtection="1">
      <protection locked="0"/>
    </xf>
    <xf numFmtId="3" fontId="0" fillId="0" borderId="1" xfId="0" applyNumberFormat="1" applyBorder="1" applyProtection="1">
      <protection locked="0"/>
    </xf>
    <xf numFmtId="0" fontId="0" fillId="0" borderId="1" xfId="0" applyBorder="1" applyAlignment="1" applyProtection="1">
      <alignment horizontal="center"/>
      <protection locked="0"/>
    </xf>
    <xf numFmtId="0" fontId="0" fillId="0" borderId="12" xfId="0" applyBorder="1" applyProtection="1">
      <protection locked="0"/>
    </xf>
    <xf numFmtId="0" fontId="0" fillId="0" borderId="5" xfId="0" applyBorder="1" applyProtection="1">
      <protection locked="0"/>
    </xf>
    <xf numFmtId="0" fontId="0" fillId="0" borderId="9" xfId="0" applyBorder="1" applyAlignment="1" applyProtection="1">
      <alignment horizontal="center"/>
      <protection locked="0"/>
    </xf>
    <xf numFmtId="3" fontId="0" fillId="0" borderId="1" xfId="0" applyNumberFormat="1" applyBorder="1" applyAlignment="1" applyProtection="1">
      <alignment horizontal="center"/>
      <protection locked="0"/>
    </xf>
    <xf numFmtId="2" fontId="0" fillId="0" borderId="1" xfId="0" applyNumberFormat="1" applyBorder="1" applyAlignment="1" applyProtection="1">
      <alignment horizontal="center"/>
      <protection locked="0"/>
    </xf>
    <xf numFmtId="164" fontId="5" fillId="0" borderId="1" xfId="3" applyNumberFormat="1" applyFont="1" applyFill="1" applyBorder="1" applyAlignment="1" applyProtection="1">
      <alignment horizontal="center"/>
      <protection locked="0"/>
    </xf>
    <xf numFmtId="164" fontId="4" fillId="0" borderId="1" xfId="3" applyNumberFormat="1" applyFont="1" applyFill="1" applyBorder="1" applyAlignment="1" applyProtection="1">
      <alignment horizontal="center"/>
    </xf>
    <xf numFmtId="3" fontId="0" fillId="0" borderId="9" xfId="0" applyNumberFormat="1" applyBorder="1" applyAlignment="1" applyProtection="1">
      <alignment horizontal="center"/>
      <protection locked="0"/>
    </xf>
    <xf numFmtId="2" fontId="0" fillId="0" borderId="9" xfId="0" applyNumberFormat="1" applyBorder="1" applyAlignment="1" applyProtection="1">
      <alignment horizontal="center"/>
      <protection locked="0"/>
    </xf>
    <xf numFmtId="14" fontId="10" fillId="0" borderId="1" xfId="0" applyNumberFormat="1" applyFont="1" applyBorder="1" applyAlignment="1" applyProtection="1">
      <alignment vertical="center"/>
      <protection locked="0"/>
    </xf>
    <xf numFmtId="49" fontId="10" fillId="0" borderId="1" xfId="0" applyNumberFormat="1" applyFont="1" applyBorder="1" applyAlignment="1" applyProtection="1">
      <alignment horizontal="center" vertical="center"/>
      <protection locked="0"/>
    </xf>
    <xf numFmtId="44" fontId="0" fillId="0" borderId="1" xfId="3" applyFont="1" applyBorder="1" applyProtection="1">
      <protection locked="0"/>
    </xf>
    <xf numFmtId="1" fontId="0" fillId="0" borderId="0" xfId="0" applyNumberFormat="1" applyAlignment="1">
      <alignment horizontal="center" wrapText="1"/>
    </xf>
    <xf numFmtId="0" fontId="0" fillId="0" borderId="12" xfId="0" applyBorder="1" applyAlignment="1" applyProtection="1">
      <alignment horizontal="center" vertical="center"/>
      <protection locked="0"/>
    </xf>
    <xf numFmtId="1" fontId="0" fillId="0" borderId="0" xfId="0" applyNumberFormat="1" applyAlignment="1">
      <alignment horizontal="center" vertical="center"/>
    </xf>
    <xf numFmtId="0" fontId="1" fillId="7" borderId="7" xfId="0" applyFont="1" applyFill="1" applyBorder="1" applyAlignment="1">
      <alignment horizontal="center" vertical="center" wrapText="1"/>
    </xf>
    <xf numFmtId="165" fontId="0" fillId="0" borderId="12" xfId="4" applyNumberFormat="1" applyFont="1" applyBorder="1"/>
    <xf numFmtId="165" fontId="0" fillId="6" borderId="12" xfId="4" applyNumberFormat="1" applyFont="1" applyFill="1" applyBorder="1"/>
    <xf numFmtId="165" fontId="0" fillId="0" borderId="1" xfId="4" applyNumberFormat="1" applyFont="1" applyBorder="1"/>
    <xf numFmtId="165" fontId="0" fillId="0" borderId="1" xfId="4" applyNumberFormat="1" applyFont="1" applyFill="1" applyBorder="1"/>
    <xf numFmtId="0" fontId="12" fillId="17" borderId="8" xfId="0" applyFont="1" applyFill="1" applyBorder="1" applyAlignment="1">
      <alignment horizontal="center"/>
    </xf>
    <xf numFmtId="0" fontId="12" fillId="17" borderId="13" xfId="0" applyFont="1" applyFill="1" applyBorder="1" applyAlignment="1">
      <alignment horizontal="center"/>
    </xf>
    <xf numFmtId="0" fontId="12" fillId="17" borderId="6" xfId="0" applyFont="1" applyFill="1" applyBorder="1" applyAlignment="1">
      <alignment horizontal="center"/>
    </xf>
    <xf numFmtId="41" fontId="0" fillId="0" borderId="1" xfId="0" applyNumberFormat="1" applyBorder="1"/>
    <xf numFmtId="9" fontId="0" fillId="0" borderId="1" xfId="5" applyFont="1" applyBorder="1" applyAlignment="1">
      <alignment horizontal="center" wrapText="1"/>
    </xf>
    <xf numFmtId="0" fontId="12" fillId="7" borderId="1" xfId="0" applyFont="1" applyFill="1" applyBorder="1" applyAlignment="1">
      <alignment horizontal="center"/>
    </xf>
    <xf numFmtId="0" fontId="12" fillId="7" borderId="1" xfId="0" applyFont="1" applyFill="1" applyBorder="1" applyAlignment="1">
      <alignment horizontal="center" vertical="top" wrapText="1"/>
    </xf>
    <xf numFmtId="0" fontId="12" fillId="7" borderId="1" xfId="0" applyFont="1" applyFill="1" applyBorder="1" applyAlignment="1">
      <alignment horizontal="center" wrapText="1"/>
    </xf>
    <xf numFmtId="0" fontId="12" fillId="7" borderId="1" xfId="0" applyFont="1" applyFill="1" applyBorder="1"/>
    <xf numFmtId="0" fontId="10" fillId="0" borderId="1" xfId="0" applyFont="1" applyBorder="1" applyAlignment="1">
      <alignment wrapText="1"/>
    </xf>
    <xf numFmtId="0" fontId="1" fillId="7" borderId="26" xfId="0" applyFont="1" applyFill="1" applyBorder="1" applyAlignment="1">
      <alignment horizontal="center" vertical="center" wrapText="1"/>
    </xf>
    <xf numFmtId="164" fontId="23" fillId="0" borderId="2" xfId="3" applyNumberFormat="1" applyFont="1" applyBorder="1" applyProtection="1">
      <protection locked="0"/>
    </xf>
    <xf numFmtId="0" fontId="12" fillId="7" borderId="1" xfId="0" applyFont="1" applyFill="1" applyBorder="1" applyAlignment="1">
      <alignment horizontal="left" vertical="top"/>
    </xf>
    <xf numFmtId="0" fontId="12" fillId="7" borderId="1" xfId="0" applyFont="1" applyFill="1" applyBorder="1" applyAlignment="1">
      <alignment horizontal="left" vertical="top" wrapText="1"/>
    </xf>
    <xf numFmtId="0" fontId="0" fillId="0" borderId="0" xfId="0" applyAlignment="1">
      <alignment horizontal="left" vertical="top"/>
    </xf>
    <xf numFmtId="0" fontId="0" fillId="0" borderId="0" xfId="0" applyAlignment="1">
      <alignment horizontal="center" vertical="center" wrapText="1"/>
    </xf>
    <xf numFmtId="6" fontId="0" fillId="0" borderId="0" xfId="0" applyNumberFormat="1" applyAlignment="1">
      <alignment horizontal="center" vertical="center"/>
    </xf>
    <xf numFmtId="0" fontId="0" fillId="0" borderId="27" xfId="0" applyBorder="1" applyAlignment="1">
      <alignment horizontal="center" vertical="center" wrapText="1"/>
    </xf>
    <xf numFmtId="1" fontId="0" fillId="0" borderId="27" xfId="0" applyNumberFormat="1" applyBorder="1" applyAlignment="1">
      <alignment horizontal="center" vertical="center" wrapText="1"/>
    </xf>
    <xf numFmtId="1" fontId="0" fillId="0" borderId="0" xfId="0" applyNumberFormat="1" applyAlignment="1">
      <alignment horizontal="center" vertical="center" wrapText="1"/>
    </xf>
    <xf numFmtId="0" fontId="0" fillId="0" borderId="0" xfId="0" applyAlignment="1">
      <alignment vertical="center" wrapText="1"/>
    </xf>
    <xf numFmtId="0" fontId="1" fillId="7" borderId="0" xfId="0" applyFont="1" applyFill="1" applyAlignment="1">
      <alignment horizontal="center" vertical="center"/>
    </xf>
    <xf numFmtId="0" fontId="1" fillId="7" borderId="0" xfId="0" applyFont="1" applyFill="1" applyAlignment="1">
      <alignment horizontal="center" wrapText="1"/>
    </xf>
    <xf numFmtId="0" fontId="1" fillId="7" borderId="0" xfId="0" applyFont="1" applyFill="1" applyAlignment="1">
      <alignment horizontal="center"/>
    </xf>
    <xf numFmtId="1" fontId="1" fillId="7" borderId="0" xfId="0" applyNumberFormat="1" applyFont="1" applyFill="1" applyAlignment="1">
      <alignment horizontal="center"/>
    </xf>
    <xf numFmtId="0" fontId="0" fillId="7" borderId="0" xfId="0" applyFill="1" applyAlignment="1">
      <alignment horizontal="center"/>
    </xf>
    <xf numFmtId="1" fontId="12" fillId="7" borderId="0" xfId="0" applyNumberFormat="1" applyFont="1" applyFill="1" applyAlignment="1">
      <alignment horizontal="center" vertical="center" wrapText="1"/>
    </xf>
    <xf numFmtId="0" fontId="12" fillId="7" borderId="0" xfId="0" applyFont="1" applyFill="1" applyAlignment="1">
      <alignment horizontal="center" vertical="center"/>
    </xf>
    <xf numFmtId="1" fontId="12" fillId="7" borderId="0" xfId="0" applyNumberFormat="1" applyFont="1" applyFill="1" applyAlignment="1">
      <alignment horizontal="center" vertical="center"/>
    </xf>
    <xf numFmtId="0" fontId="0" fillId="0" borderId="5" xfId="0" applyBorder="1" applyAlignment="1" applyProtection="1">
      <alignment horizontal="center" vertical="center"/>
      <protection locked="0"/>
    </xf>
    <xf numFmtId="44" fontId="0" fillId="0" borderId="1" xfId="3" applyFont="1" applyFill="1" applyBorder="1" applyProtection="1">
      <protection locked="0"/>
    </xf>
    <xf numFmtId="44" fontId="0" fillId="0" borderId="9" xfId="3" applyFont="1" applyFill="1" applyBorder="1" applyProtection="1">
      <protection locked="0"/>
    </xf>
    <xf numFmtId="0" fontId="20" fillId="0" borderId="0" xfId="0" applyFont="1" applyAlignment="1">
      <alignment horizontal="left" vertical="top" wrapText="1"/>
    </xf>
    <xf numFmtId="0" fontId="12" fillId="20" borderId="1" xfId="0" applyFont="1" applyFill="1" applyBorder="1" applyAlignment="1">
      <alignment horizontal="center" wrapText="1"/>
    </xf>
    <xf numFmtId="0" fontId="0" fillId="0" borderId="27" xfId="0" applyBorder="1"/>
    <xf numFmtId="0" fontId="0" fillId="21" borderId="0" xfId="0" applyFill="1"/>
    <xf numFmtId="164" fontId="4" fillId="0" borderId="13" xfId="3" applyNumberFormat="1" applyFont="1" applyFill="1" applyBorder="1" applyAlignment="1" applyProtection="1">
      <alignment horizontal="center"/>
    </xf>
    <xf numFmtId="0" fontId="17" fillId="0" borderId="0" xfId="0" applyFont="1" applyAlignment="1">
      <alignment wrapText="1"/>
    </xf>
    <xf numFmtId="0" fontId="1" fillId="7" borderId="28" xfId="0" applyFont="1" applyFill="1" applyBorder="1" applyAlignment="1">
      <alignment horizontal="center" vertical="center" wrapText="1"/>
    </xf>
    <xf numFmtId="41" fontId="1" fillId="0" borderId="1" xfId="3" applyNumberFormat="1" applyFont="1" applyFill="1" applyBorder="1" applyProtection="1">
      <protection locked="0"/>
    </xf>
    <xf numFmtId="41" fontId="0" fillId="0" borderId="1" xfId="3" applyNumberFormat="1" applyFont="1" applyFill="1" applyBorder="1" applyProtection="1">
      <protection locked="0"/>
    </xf>
    <xf numFmtId="44" fontId="0" fillId="0" borderId="2" xfId="3" applyFont="1" applyFill="1" applyBorder="1" applyProtection="1">
      <protection locked="0"/>
    </xf>
    <xf numFmtId="41" fontId="22" fillId="0" borderId="1" xfId="3" applyNumberFormat="1" applyFont="1" applyFill="1" applyBorder="1" applyProtection="1">
      <protection locked="0"/>
    </xf>
    <xf numFmtId="44" fontId="22" fillId="0" borderId="1" xfId="3" applyFont="1" applyFill="1" applyBorder="1" applyProtection="1">
      <protection locked="0"/>
    </xf>
    <xf numFmtId="44" fontId="22" fillId="0" borderId="2" xfId="3" applyFont="1" applyFill="1" applyBorder="1" applyProtection="1">
      <protection locked="0"/>
    </xf>
    <xf numFmtId="41" fontId="0" fillId="0" borderId="9" xfId="3" applyNumberFormat="1" applyFont="1" applyFill="1" applyBorder="1" applyProtection="1">
      <protection locked="0"/>
    </xf>
    <xf numFmtId="44" fontId="0" fillId="0" borderId="3" xfId="3" applyFont="1" applyFill="1" applyBorder="1" applyProtection="1">
      <protection locked="0"/>
    </xf>
    <xf numFmtId="0" fontId="20" fillId="0" borderId="0" xfId="0" applyFont="1" applyAlignment="1">
      <alignment vertical="top" wrapText="1"/>
    </xf>
    <xf numFmtId="1" fontId="12" fillId="7" borderId="29" xfId="0" applyNumberFormat="1" applyFont="1" applyFill="1" applyBorder="1" applyAlignment="1">
      <alignment horizontal="center"/>
    </xf>
    <xf numFmtId="0" fontId="12" fillId="7" borderId="0" xfId="0" applyFont="1" applyFill="1" applyAlignment="1">
      <alignment horizontal="center"/>
    </xf>
    <xf numFmtId="1" fontId="0" fillId="0" borderId="27" xfId="0" applyNumberFormat="1" applyBorder="1" applyAlignment="1">
      <alignment horizontal="center"/>
    </xf>
    <xf numFmtId="1" fontId="12" fillId="7" borderId="0" xfId="0" applyNumberFormat="1" applyFont="1" applyFill="1" applyAlignment="1">
      <alignment horizontal="center"/>
    </xf>
    <xf numFmtId="0" fontId="0" fillId="0" borderId="1" xfId="0" applyBorder="1" applyAlignment="1">
      <alignment vertical="top" wrapText="1"/>
    </xf>
    <xf numFmtId="49" fontId="10" fillId="0" borderId="1" xfId="0" applyNumberFormat="1" applyFont="1" applyBorder="1" applyAlignment="1" applyProtection="1">
      <alignment horizontal="center" vertical="center" wrapText="1"/>
      <protection locked="0"/>
    </xf>
    <xf numFmtId="0" fontId="0" fillId="0" borderId="30" xfId="0" applyBorder="1" applyAlignment="1">
      <alignment wrapText="1"/>
    </xf>
    <xf numFmtId="0" fontId="0" fillId="6" borderId="30" xfId="0" applyFill="1" applyBorder="1" applyAlignment="1">
      <alignment wrapText="1"/>
    </xf>
    <xf numFmtId="0" fontId="12" fillId="8" borderId="8" xfId="0" applyFont="1" applyFill="1" applyBorder="1" applyAlignment="1">
      <alignment wrapText="1"/>
    </xf>
    <xf numFmtId="0" fontId="12" fillId="8" borderId="31" xfId="0" applyFont="1" applyFill="1" applyBorder="1"/>
    <xf numFmtId="0" fontId="12" fillId="8" borderId="32" xfId="0" applyFont="1" applyFill="1" applyBorder="1" applyAlignment="1">
      <alignment wrapText="1"/>
    </xf>
    <xf numFmtId="0" fontId="0" fillId="6" borderId="4" xfId="0" applyFill="1" applyBorder="1" applyAlignment="1">
      <alignment wrapText="1"/>
    </xf>
    <xf numFmtId="0" fontId="0" fillId="6" borderId="33" xfId="0" applyFill="1" applyBorder="1" applyAlignment="1">
      <alignment wrapText="1"/>
    </xf>
    <xf numFmtId="165" fontId="0" fillId="6" borderId="5" xfId="4" applyNumberFormat="1" applyFont="1" applyFill="1" applyBorder="1"/>
    <xf numFmtId="44" fontId="0" fillId="6" borderId="5" xfId="3" applyFont="1" applyFill="1" applyBorder="1"/>
    <xf numFmtId="44" fontId="0" fillId="6" borderId="9" xfId="3" applyFont="1" applyFill="1" applyBorder="1"/>
    <xf numFmtId="44" fontId="0" fillId="6" borderId="3" xfId="3" applyFont="1" applyFill="1" applyBorder="1"/>
    <xf numFmtId="44" fontId="0" fillId="6" borderId="33" xfId="3" applyFont="1" applyFill="1" applyBorder="1"/>
    <xf numFmtId="9" fontId="0" fillId="6" borderId="34" xfId="5" applyFont="1" applyFill="1" applyBorder="1"/>
    <xf numFmtId="0" fontId="12" fillId="7" borderId="8" xfId="0" applyFont="1" applyFill="1" applyBorder="1" applyAlignment="1">
      <alignment wrapText="1"/>
    </xf>
    <xf numFmtId="0" fontId="12" fillId="7" borderId="31" xfId="0" applyFont="1" applyFill="1" applyBorder="1"/>
    <xf numFmtId="0" fontId="12" fillId="7" borderId="13" xfId="0" applyFont="1" applyFill="1" applyBorder="1" applyAlignment="1">
      <alignment wrapText="1"/>
    </xf>
    <xf numFmtId="0" fontId="12" fillId="7" borderId="6" xfId="0" applyFont="1" applyFill="1" applyBorder="1" applyAlignment="1">
      <alignment wrapText="1"/>
    </xf>
    <xf numFmtId="0" fontId="12" fillId="7" borderId="31" xfId="0" applyFont="1" applyFill="1" applyBorder="1" applyAlignment="1">
      <alignment wrapText="1"/>
    </xf>
    <xf numFmtId="44" fontId="0" fillId="0" borderId="12" xfId="3" applyFont="1" applyBorder="1" applyAlignment="1">
      <alignment wrapText="1"/>
    </xf>
    <xf numFmtId="44" fontId="0" fillId="6" borderId="12" xfId="3" applyFont="1" applyFill="1" applyBorder="1" applyAlignment="1">
      <alignment wrapText="1"/>
    </xf>
    <xf numFmtId="44" fontId="0" fillId="6" borderId="5" xfId="3" applyFont="1" applyFill="1" applyBorder="1" applyAlignment="1">
      <alignment wrapText="1"/>
    </xf>
    <xf numFmtId="0" fontId="12" fillId="9" borderId="15" xfId="0" applyFont="1" applyFill="1" applyBorder="1" applyAlignment="1">
      <alignment wrapText="1"/>
    </xf>
    <xf numFmtId="165" fontId="0" fillId="0" borderId="17" xfId="4" applyNumberFormat="1" applyFont="1" applyBorder="1"/>
    <xf numFmtId="165" fontId="0" fillId="6" borderId="17" xfId="4" applyNumberFormat="1" applyFont="1" applyFill="1" applyBorder="1"/>
    <xf numFmtId="165" fontId="0" fillId="6" borderId="19" xfId="4" applyNumberFormat="1" applyFont="1" applyFill="1" applyBorder="1"/>
    <xf numFmtId="0" fontId="12" fillId="9" borderId="12" xfId="0" applyFont="1" applyFill="1" applyBorder="1" applyAlignment="1">
      <alignment wrapText="1"/>
    </xf>
    <xf numFmtId="165" fontId="0" fillId="6" borderId="34" xfId="4" applyNumberFormat="1" applyFont="1" applyFill="1" applyBorder="1"/>
    <xf numFmtId="0" fontId="12" fillId="10" borderId="12" xfId="0" applyFont="1" applyFill="1" applyBorder="1" applyAlignment="1">
      <alignment wrapText="1"/>
    </xf>
    <xf numFmtId="0" fontId="12" fillId="10" borderId="8" xfId="0" applyFont="1" applyFill="1" applyBorder="1" applyAlignment="1">
      <alignment wrapText="1"/>
    </xf>
    <xf numFmtId="0" fontId="12" fillId="10" borderId="6" xfId="0" applyFont="1" applyFill="1" applyBorder="1"/>
    <xf numFmtId="0" fontId="12" fillId="11" borderId="8" xfId="0" applyFont="1" applyFill="1" applyBorder="1" applyAlignment="1">
      <alignment wrapText="1"/>
    </xf>
    <xf numFmtId="0" fontId="12" fillId="11" borderId="6" xfId="0" applyFont="1" applyFill="1" applyBorder="1"/>
    <xf numFmtId="0" fontId="12" fillId="4" borderId="8" xfId="0" applyFont="1" applyFill="1" applyBorder="1" applyAlignment="1">
      <alignment wrapText="1"/>
    </xf>
    <xf numFmtId="0" fontId="12" fillId="4" borderId="6" xfId="0" applyFont="1" applyFill="1" applyBorder="1"/>
    <xf numFmtId="0" fontId="12" fillId="13" borderId="8" xfId="0" applyFont="1" applyFill="1" applyBorder="1" applyAlignment="1">
      <alignment wrapText="1"/>
    </xf>
    <xf numFmtId="0" fontId="12" fillId="13" borderId="6" xfId="0" applyFont="1" applyFill="1" applyBorder="1"/>
    <xf numFmtId="0" fontId="12" fillId="14" borderId="8" xfId="0" applyFont="1" applyFill="1" applyBorder="1" applyAlignment="1">
      <alignment wrapText="1"/>
    </xf>
    <xf numFmtId="0" fontId="12" fillId="14" borderId="6" xfId="0" applyFont="1" applyFill="1" applyBorder="1"/>
    <xf numFmtId="44" fontId="0" fillId="0" borderId="2" xfId="3" applyFont="1" applyBorder="1" applyAlignment="1">
      <alignment wrapText="1"/>
    </xf>
    <xf numFmtId="0" fontId="12" fillId="17" borderId="8" xfId="0" applyFont="1" applyFill="1" applyBorder="1" applyAlignment="1">
      <alignment wrapText="1"/>
    </xf>
    <xf numFmtId="0" fontId="12" fillId="17" borderId="6" xfId="0" applyFont="1" applyFill="1" applyBorder="1"/>
    <xf numFmtId="0" fontId="0" fillId="0" borderId="2" xfId="0" applyBorder="1" applyAlignment="1">
      <alignment wrapText="1"/>
    </xf>
    <xf numFmtId="0" fontId="0" fillId="6" borderId="2" xfId="0" applyFill="1" applyBorder="1" applyAlignment="1">
      <alignment wrapText="1"/>
    </xf>
    <xf numFmtId="0" fontId="0" fillId="6" borderId="3" xfId="0" applyFill="1" applyBorder="1" applyAlignment="1">
      <alignment wrapText="1"/>
    </xf>
    <xf numFmtId="0" fontId="20" fillId="0" borderId="0" xfId="0" applyFont="1" applyAlignment="1">
      <alignment vertical="top"/>
    </xf>
    <xf numFmtId="44" fontId="0" fillId="18" borderId="5" xfId="3" applyFont="1" applyFill="1" applyBorder="1" applyAlignment="1">
      <alignment wrapText="1"/>
    </xf>
    <xf numFmtId="44" fontId="0" fillId="18" borderId="9" xfId="3" applyFont="1" applyFill="1" applyBorder="1"/>
    <xf numFmtId="0" fontId="12" fillId="12" borderId="8" xfId="0" applyFont="1" applyFill="1" applyBorder="1" applyAlignment="1">
      <alignment wrapText="1"/>
    </xf>
    <xf numFmtId="0" fontId="12" fillId="12" borderId="31" xfId="0" applyFont="1" applyFill="1" applyBorder="1"/>
    <xf numFmtId="0" fontId="12" fillId="12" borderId="31" xfId="0" applyFont="1" applyFill="1" applyBorder="1" applyAlignment="1">
      <alignment wrapText="1"/>
    </xf>
    <xf numFmtId="165" fontId="0" fillId="0" borderId="0" xfId="4" applyNumberFormat="1" applyFont="1" applyFill="1" applyBorder="1"/>
    <xf numFmtId="44" fontId="0" fillId="0" borderId="0" xfId="3" applyFont="1" applyFill="1" applyBorder="1" applyAlignment="1">
      <alignment wrapText="1"/>
    </xf>
    <xf numFmtId="44" fontId="0" fillId="0" borderId="0" xfId="3" applyFont="1" applyFill="1" applyBorder="1"/>
    <xf numFmtId="9" fontId="0" fillId="0" borderId="0" xfId="5" applyFont="1" applyFill="1" applyBorder="1"/>
    <xf numFmtId="43" fontId="0" fillId="0" borderId="12" xfId="4" applyFont="1" applyBorder="1"/>
    <xf numFmtId="43" fontId="0" fillId="6" borderId="12" xfId="4" applyFont="1" applyFill="1" applyBorder="1"/>
    <xf numFmtId="0" fontId="12" fillId="17" borderId="15" xfId="0" applyFont="1" applyFill="1" applyBorder="1" applyAlignment="1">
      <alignment wrapText="1"/>
    </xf>
    <xf numFmtId="0" fontId="12" fillId="14" borderId="15" xfId="0" applyFont="1" applyFill="1" applyBorder="1" applyAlignment="1">
      <alignment wrapText="1"/>
    </xf>
    <xf numFmtId="43" fontId="0" fillId="6" borderId="23" xfId="4" applyFont="1" applyFill="1" applyBorder="1"/>
    <xf numFmtId="0" fontId="12" fillId="13" borderId="15" xfId="0" applyFont="1" applyFill="1" applyBorder="1" applyAlignment="1">
      <alignment wrapText="1"/>
    </xf>
    <xf numFmtId="0" fontId="12" fillId="4" borderId="15" xfId="0" applyFont="1" applyFill="1" applyBorder="1" applyAlignment="1">
      <alignment wrapText="1"/>
    </xf>
    <xf numFmtId="0" fontId="12" fillId="11" borderId="15" xfId="0" applyFont="1" applyFill="1" applyBorder="1" applyAlignment="1">
      <alignment wrapText="1"/>
    </xf>
    <xf numFmtId="0" fontId="12" fillId="8" borderId="13" xfId="0" applyFont="1" applyFill="1" applyBorder="1" applyAlignment="1">
      <alignment wrapText="1"/>
    </xf>
    <xf numFmtId="0" fontId="12" fillId="8" borderId="6" xfId="0" applyFont="1" applyFill="1" applyBorder="1" applyAlignment="1">
      <alignment wrapText="1"/>
    </xf>
    <xf numFmtId="0" fontId="12" fillId="8" borderId="31" xfId="0" applyFont="1" applyFill="1" applyBorder="1" applyAlignment="1">
      <alignment wrapText="1"/>
    </xf>
    <xf numFmtId="44" fontId="0" fillId="6" borderId="1" xfId="3" applyFont="1" applyFill="1" applyBorder="1" applyAlignment="1">
      <alignment wrapText="1"/>
    </xf>
    <xf numFmtId="0" fontId="12" fillId="9" borderId="14" xfId="0" applyFont="1" applyFill="1" applyBorder="1" applyAlignment="1">
      <alignment wrapText="1"/>
    </xf>
    <xf numFmtId="0" fontId="12" fillId="9" borderId="16" xfId="0" applyFont="1" applyFill="1" applyBorder="1" applyAlignment="1">
      <alignment wrapText="1"/>
    </xf>
    <xf numFmtId="0" fontId="12" fillId="9" borderId="1" xfId="0" applyFont="1" applyFill="1" applyBorder="1" applyAlignment="1">
      <alignment wrapText="1"/>
    </xf>
    <xf numFmtId="0" fontId="12" fillId="11" borderId="14" xfId="0" applyFont="1" applyFill="1" applyBorder="1" applyAlignment="1">
      <alignment wrapText="1"/>
    </xf>
    <xf numFmtId="0" fontId="12" fillId="11" borderId="16" xfId="0" applyFont="1" applyFill="1" applyBorder="1" applyAlignment="1">
      <alignment wrapText="1"/>
    </xf>
    <xf numFmtId="0" fontId="12" fillId="4" borderId="14" xfId="0" applyFont="1" applyFill="1" applyBorder="1" applyAlignment="1">
      <alignment wrapText="1"/>
    </xf>
    <xf numFmtId="0" fontId="12" fillId="4" borderId="16" xfId="0" applyFont="1" applyFill="1" applyBorder="1" applyAlignment="1">
      <alignment wrapText="1"/>
    </xf>
    <xf numFmtId="0" fontId="12" fillId="13" borderId="14" xfId="0" applyFont="1" applyFill="1" applyBorder="1" applyAlignment="1">
      <alignment wrapText="1"/>
    </xf>
    <xf numFmtId="0" fontId="12" fillId="13" borderId="16" xfId="0" applyFont="1" applyFill="1" applyBorder="1" applyAlignment="1">
      <alignment wrapText="1"/>
    </xf>
    <xf numFmtId="0" fontId="12" fillId="14" borderId="14" xfId="0" applyFont="1" applyFill="1" applyBorder="1" applyAlignment="1">
      <alignment wrapText="1"/>
    </xf>
    <xf numFmtId="0" fontId="12" fillId="14" borderId="24" xfId="0" applyFont="1" applyFill="1" applyBorder="1" applyAlignment="1">
      <alignment wrapText="1"/>
    </xf>
    <xf numFmtId="0" fontId="12" fillId="14" borderId="16" xfId="0" applyFont="1" applyFill="1" applyBorder="1" applyAlignment="1">
      <alignment wrapText="1"/>
    </xf>
    <xf numFmtId="0" fontId="12" fillId="17" borderId="14" xfId="0" applyFont="1" applyFill="1" applyBorder="1" applyAlignment="1">
      <alignment wrapText="1"/>
    </xf>
    <xf numFmtId="0" fontId="12" fillId="17" borderId="16" xfId="0" applyFont="1" applyFill="1" applyBorder="1" applyAlignment="1">
      <alignment wrapText="1"/>
    </xf>
    <xf numFmtId="44" fontId="0" fillId="18" borderId="12" xfId="3" applyFont="1" applyFill="1" applyBorder="1" applyAlignment="1">
      <alignment wrapText="1"/>
    </xf>
    <xf numFmtId="44" fontId="0" fillId="18" borderId="12" xfId="3" applyFont="1" applyFill="1" applyBorder="1"/>
    <xf numFmtId="9" fontId="0" fillId="18" borderId="1" xfId="5" applyFont="1" applyFill="1" applyBorder="1"/>
    <xf numFmtId="9" fontId="0" fillId="18" borderId="12" xfId="5" applyFont="1" applyFill="1" applyBorder="1"/>
    <xf numFmtId="44" fontId="0" fillId="18" borderId="5" xfId="3" applyFont="1" applyFill="1" applyBorder="1"/>
    <xf numFmtId="9" fontId="0" fillId="18" borderId="5" xfId="5" applyFont="1" applyFill="1" applyBorder="1"/>
    <xf numFmtId="9" fontId="0" fillId="18" borderId="9" xfId="5" applyFont="1" applyFill="1" applyBorder="1"/>
    <xf numFmtId="44" fontId="0" fillId="18" borderId="1" xfId="3" applyFont="1" applyFill="1" applyBorder="1" applyAlignment="1">
      <alignment wrapText="1"/>
    </xf>
    <xf numFmtId="44" fontId="0" fillId="18" borderId="9" xfId="3" applyFont="1" applyFill="1" applyBorder="1" applyAlignment="1">
      <alignment wrapText="1"/>
    </xf>
    <xf numFmtId="44" fontId="0" fillId="6" borderId="9" xfId="3" applyFont="1" applyFill="1" applyBorder="1" applyAlignment="1">
      <alignment wrapText="1"/>
    </xf>
    <xf numFmtId="44" fontId="0" fillId="6" borderId="20" xfId="3" applyFont="1" applyFill="1" applyBorder="1" applyAlignment="1">
      <alignment wrapText="1"/>
    </xf>
    <xf numFmtId="44" fontId="0" fillId="0" borderId="1" xfId="3" applyFont="1" applyBorder="1" applyAlignment="1">
      <alignment wrapText="1"/>
    </xf>
    <xf numFmtId="0" fontId="12" fillId="10" borderId="18" xfId="0" applyFont="1" applyFill="1" applyBorder="1" applyAlignment="1">
      <alignment wrapText="1"/>
    </xf>
    <xf numFmtId="0" fontId="12" fillId="10" borderId="2" xfId="0" applyFont="1" applyFill="1" applyBorder="1" applyAlignment="1">
      <alignment wrapText="1"/>
    </xf>
    <xf numFmtId="44" fontId="0" fillId="18" borderId="23" xfId="3" applyFont="1" applyFill="1" applyBorder="1" applyAlignment="1">
      <alignment wrapText="1"/>
    </xf>
    <xf numFmtId="44" fontId="0" fillId="18" borderId="20" xfId="3" applyFont="1" applyFill="1" applyBorder="1" applyAlignment="1">
      <alignment wrapText="1"/>
    </xf>
    <xf numFmtId="44" fontId="0" fillId="18" borderId="23" xfId="3" applyFont="1" applyFill="1" applyBorder="1"/>
    <xf numFmtId="44" fontId="0" fillId="18" borderId="20" xfId="3" applyFont="1" applyFill="1" applyBorder="1"/>
    <xf numFmtId="9" fontId="0" fillId="18" borderId="23" xfId="5" applyFont="1" applyFill="1" applyBorder="1"/>
    <xf numFmtId="9" fontId="0" fillId="18" borderId="20" xfId="5" applyFont="1" applyFill="1" applyBorder="1"/>
    <xf numFmtId="44" fontId="0" fillId="0" borderId="30" xfId="3" applyFont="1" applyBorder="1"/>
    <xf numFmtId="44" fontId="1" fillId="0" borderId="1" xfId="3" applyFont="1" applyFill="1" applyBorder="1"/>
    <xf numFmtId="10" fontId="1" fillId="0" borderId="2" xfId="5" applyNumberFormat="1" applyFont="1" applyFill="1" applyBorder="1"/>
    <xf numFmtId="44" fontId="12" fillId="15" borderId="1" xfId="3" applyFont="1" applyFill="1" applyBorder="1" applyAlignment="1">
      <alignment wrapText="1"/>
    </xf>
    <xf numFmtId="0" fontId="12" fillId="7" borderId="28" xfId="0" applyFont="1" applyFill="1" applyBorder="1" applyAlignment="1">
      <alignment horizontal="center"/>
    </xf>
    <xf numFmtId="3" fontId="0" fillId="0" borderId="0" xfId="0" applyNumberFormat="1" applyAlignment="1">
      <alignment horizontal="center"/>
    </xf>
    <xf numFmtId="0" fontId="2" fillId="0" borderId="0" xfId="0" applyFont="1" applyAlignment="1">
      <alignment horizontal="left"/>
    </xf>
    <xf numFmtId="0" fontId="12" fillId="7" borderId="1" xfId="0" applyFont="1" applyFill="1" applyBorder="1" applyAlignment="1">
      <alignment horizontal="center" vertical="center"/>
    </xf>
    <xf numFmtId="0" fontId="26" fillId="7" borderId="1" xfId="0" applyFont="1" applyFill="1" applyBorder="1" applyAlignment="1">
      <alignment horizontal="left" vertical="top"/>
    </xf>
    <xf numFmtId="0" fontId="26" fillId="7" borderId="1" xfId="0" applyFont="1" applyFill="1" applyBorder="1" applyAlignment="1">
      <alignment horizontal="left" vertical="top" wrapText="1"/>
    </xf>
    <xf numFmtId="0" fontId="0" fillId="23" borderId="0" xfId="0" applyFill="1"/>
    <xf numFmtId="0" fontId="0" fillId="23" borderId="0" xfId="0" applyFill="1" applyProtection="1">
      <protection locked="0"/>
    </xf>
    <xf numFmtId="0" fontId="1" fillId="23" borderId="0" xfId="0" applyFont="1" applyFill="1" applyAlignment="1">
      <alignment horizontal="left" vertical="top"/>
    </xf>
    <xf numFmtId="0" fontId="0" fillId="23" borderId="0" xfId="0" applyFill="1" applyAlignment="1">
      <alignment horizontal="left" vertical="top" wrapText="1"/>
    </xf>
    <xf numFmtId="0" fontId="14" fillId="23" borderId="0" xfId="0" applyFont="1" applyFill="1" applyAlignment="1">
      <alignment horizontal="left" vertical="top"/>
    </xf>
    <xf numFmtId="0" fontId="6" fillId="23" borderId="0" xfId="0" applyFont="1" applyFill="1" applyAlignment="1">
      <alignment horizontal="left" vertical="top"/>
    </xf>
    <xf numFmtId="0" fontId="0" fillId="23" borderId="0" xfId="0" applyFill="1" applyAlignment="1">
      <alignment horizontal="left" vertical="top"/>
    </xf>
    <xf numFmtId="0" fontId="0" fillId="2" borderId="0" xfId="0" applyFill="1"/>
    <xf numFmtId="0" fontId="0" fillId="2" borderId="0" xfId="0" applyFill="1" applyAlignment="1">
      <alignment horizontal="left" vertical="top"/>
    </xf>
    <xf numFmtId="0" fontId="0" fillId="2" borderId="0" xfId="0" applyFill="1" applyAlignment="1">
      <alignment horizontal="left" vertical="top" wrapText="1"/>
    </xf>
    <xf numFmtId="0" fontId="1" fillId="2" borderId="0" xfId="0" applyFont="1" applyFill="1" applyAlignment="1">
      <alignment horizontal="left" vertical="top"/>
    </xf>
    <xf numFmtId="0" fontId="8" fillId="2" borderId="0" xfId="0" applyFont="1" applyFill="1"/>
    <xf numFmtId="0" fontId="1" fillId="2" borderId="0" xfId="0" applyFont="1" applyFill="1"/>
    <xf numFmtId="0" fontId="0" fillId="2" borderId="0" xfId="0" applyFill="1" applyAlignment="1">
      <alignment horizontal="center"/>
    </xf>
    <xf numFmtId="1" fontId="0" fillId="2" borderId="0" xfId="0" applyNumberFormat="1" applyFill="1" applyAlignment="1">
      <alignment horizontal="center"/>
    </xf>
    <xf numFmtId="0" fontId="0" fillId="2" borderId="0" xfId="0" applyFill="1" applyAlignment="1">
      <alignment wrapText="1"/>
    </xf>
    <xf numFmtId="165" fontId="0" fillId="0" borderId="1" xfId="4" applyNumberFormat="1" applyFont="1" applyFill="1" applyBorder="1" applyProtection="1">
      <protection locked="0"/>
    </xf>
    <xf numFmtId="165" fontId="1" fillId="0" borderId="1" xfId="4" applyNumberFormat="1" applyFont="1" applyFill="1" applyBorder="1" applyProtection="1">
      <protection locked="0"/>
    </xf>
    <xf numFmtId="165" fontId="0" fillId="0" borderId="9" xfId="4" applyNumberFormat="1" applyFont="1" applyFill="1" applyBorder="1" applyProtection="1">
      <protection locked="0"/>
    </xf>
    <xf numFmtId="9" fontId="0" fillId="0" borderId="0" xfId="5" applyFont="1"/>
    <xf numFmtId="9" fontId="0" fillId="0" borderId="1" xfId="5" applyFont="1" applyFill="1" applyBorder="1" applyAlignment="1">
      <alignment horizontal="left"/>
    </xf>
    <xf numFmtId="0" fontId="12" fillId="8" borderId="32" xfId="5" applyNumberFormat="1" applyFont="1" applyFill="1" applyBorder="1" applyAlignment="1">
      <alignment wrapText="1"/>
    </xf>
    <xf numFmtId="0" fontId="12" fillId="8" borderId="8" xfId="5" applyNumberFormat="1" applyFont="1" applyFill="1" applyBorder="1" applyAlignment="1">
      <alignment wrapText="1"/>
    </xf>
    <xf numFmtId="0" fontId="12" fillId="8" borderId="13" xfId="5" applyNumberFormat="1" applyFont="1" applyFill="1" applyBorder="1" applyAlignment="1">
      <alignment wrapText="1"/>
    </xf>
    <xf numFmtId="0" fontId="12" fillId="8" borderId="6" xfId="5" applyNumberFormat="1" applyFont="1" applyFill="1" applyBorder="1" applyAlignment="1">
      <alignment wrapText="1"/>
    </xf>
    <xf numFmtId="0" fontId="12" fillId="7" borderId="32" xfId="5" applyNumberFormat="1" applyFont="1" applyFill="1" applyBorder="1" applyAlignment="1">
      <alignment wrapText="1"/>
    </xf>
    <xf numFmtId="0" fontId="12" fillId="7" borderId="8" xfId="5" applyNumberFormat="1" applyFont="1" applyFill="1" applyBorder="1" applyAlignment="1">
      <alignment wrapText="1"/>
    </xf>
    <xf numFmtId="0" fontId="12" fillId="7" borderId="13" xfId="5" applyNumberFormat="1" applyFont="1" applyFill="1" applyBorder="1" applyAlignment="1">
      <alignment wrapText="1"/>
    </xf>
    <xf numFmtId="0" fontId="12" fillId="7" borderId="6" xfId="5" applyNumberFormat="1" applyFont="1" applyFill="1" applyBorder="1" applyAlignment="1">
      <alignment wrapText="1"/>
    </xf>
    <xf numFmtId="0" fontId="12" fillId="9" borderId="1" xfId="5" applyNumberFormat="1" applyFont="1" applyFill="1" applyBorder="1" applyAlignment="1">
      <alignment wrapText="1"/>
    </xf>
    <xf numFmtId="0" fontId="12" fillId="10" borderId="17" xfId="5" applyNumberFormat="1" applyFont="1" applyFill="1" applyBorder="1" applyAlignment="1">
      <alignment wrapText="1"/>
    </xf>
    <xf numFmtId="0" fontId="12" fillId="10" borderId="1" xfId="5" applyNumberFormat="1" applyFont="1" applyFill="1" applyBorder="1" applyAlignment="1">
      <alignment wrapText="1"/>
    </xf>
    <xf numFmtId="0" fontId="12" fillId="10" borderId="18" xfId="5" applyNumberFormat="1" applyFont="1" applyFill="1" applyBorder="1" applyAlignment="1">
      <alignment wrapText="1"/>
    </xf>
    <xf numFmtId="0" fontId="12" fillId="11" borderId="12" xfId="5" applyNumberFormat="1" applyFont="1" applyFill="1" applyBorder="1" applyAlignment="1">
      <alignment wrapText="1"/>
    </xf>
    <xf numFmtId="0" fontId="12" fillId="11" borderId="1" xfId="5" applyNumberFormat="1" applyFont="1" applyFill="1" applyBorder="1" applyAlignment="1">
      <alignment wrapText="1"/>
    </xf>
    <xf numFmtId="0" fontId="12" fillId="4" borderId="15" xfId="5" applyNumberFormat="1" applyFont="1" applyFill="1" applyBorder="1" applyAlignment="1">
      <alignment wrapText="1"/>
    </xf>
    <xf numFmtId="0" fontId="12" fillId="4" borderId="16" xfId="5" applyNumberFormat="1" applyFont="1" applyFill="1" applyBorder="1" applyAlignment="1">
      <alignment wrapText="1"/>
    </xf>
    <xf numFmtId="0" fontId="12" fillId="12" borderId="31" xfId="5" applyNumberFormat="1" applyFont="1" applyFill="1" applyBorder="1" applyAlignment="1">
      <alignment wrapText="1"/>
    </xf>
    <xf numFmtId="0" fontId="12" fillId="12" borderId="6" xfId="5" applyNumberFormat="1" applyFont="1" applyFill="1" applyBorder="1" applyAlignment="1">
      <alignment wrapText="1"/>
    </xf>
    <xf numFmtId="0" fontId="12" fillId="13" borderId="12" xfId="5" applyNumberFormat="1" applyFont="1" applyFill="1" applyBorder="1" applyAlignment="1">
      <alignment wrapText="1"/>
    </xf>
    <xf numFmtId="0" fontId="12" fillId="13" borderId="1" xfId="5" applyNumberFormat="1" applyFont="1" applyFill="1" applyBorder="1" applyAlignment="1">
      <alignment wrapText="1"/>
    </xf>
    <xf numFmtId="0" fontId="12" fillId="14" borderId="12" xfId="5" applyNumberFormat="1" applyFont="1" applyFill="1" applyBorder="1" applyAlignment="1">
      <alignment wrapText="1"/>
    </xf>
    <xf numFmtId="0" fontId="12" fillId="14" borderId="1" xfId="5" applyNumberFormat="1" applyFont="1" applyFill="1" applyBorder="1" applyAlignment="1">
      <alignment wrapText="1"/>
    </xf>
    <xf numFmtId="0" fontId="12" fillId="17" borderId="12" xfId="5" applyNumberFormat="1" applyFont="1" applyFill="1" applyBorder="1" applyAlignment="1">
      <alignment wrapText="1"/>
    </xf>
    <xf numFmtId="0" fontId="12" fillId="17" borderId="1" xfId="5" applyNumberFormat="1" applyFont="1" applyFill="1" applyBorder="1" applyAlignment="1">
      <alignment wrapText="1"/>
    </xf>
    <xf numFmtId="0" fontId="12" fillId="12" borderId="35" xfId="0" applyFont="1" applyFill="1" applyBorder="1" applyAlignment="1">
      <alignment wrapText="1"/>
    </xf>
    <xf numFmtId="0" fontId="12" fillId="12" borderId="32" xfId="0" applyFont="1" applyFill="1" applyBorder="1" applyAlignment="1">
      <alignment wrapText="1"/>
    </xf>
    <xf numFmtId="0" fontId="12" fillId="12" borderId="13" xfId="0" applyFont="1" applyFill="1" applyBorder="1" applyAlignment="1">
      <alignment wrapText="1"/>
    </xf>
    <xf numFmtId="0" fontId="12" fillId="14" borderId="37" xfId="0" applyFont="1" applyFill="1" applyBorder="1" applyAlignment="1">
      <alignment wrapText="1"/>
    </xf>
    <xf numFmtId="44" fontId="0" fillId="0" borderId="36" xfId="3" applyFont="1" applyBorder="1"/>
    <xf numFmtId="44" fontId="0" fillId="6" borderId="36" xfId="3" applyFont="1" applyFill="1" applyBorder="1"/>
    <xf numFmtId="41" fontId="0" fillId="0" borderId="0" xfId="3" applyNumberFormat="1" applyFont="1" applyFill="1" applyBorder="1" applyProtection="1">
      <protection hidden="1"/>
    </xf>
    <xf numFmtId="0" fontId="0" fillId="0" borderId="0" xfId="0" applyAlignment="1" applyProtection="1">
      <alignment horizontal="center"/>
      <protection hidden="1"/>
    </xf>
    <xf numFmtId="41" fontId="0" fillId="0" borderId="0" xfId="3" applyNumberFormat="1" applyFont="1" applyFill="1" applyBorder="1" applyAlignment="1" applyProtection="1">
      <alignment horizontal="center"/>
      <protection hidden="1"/>
    </xf>
    <xf numFmtId="0" fontId="0" fillId="18" borderId="0" xfId="0" applyFill="1"/>
    <xf numFmtId="0" fontId="0" fillId="18" borderId="0" xfId="0" applyFill="1" applyProtection="1">
      <protection hidden="1"/>
    </xf>
    <xf numFmtId="0" fontId="1" fillId="0" borderId="28" xfId="0" applyFont="1" applyBorder="1" applyAlignment="1" applyProtection="1">
      <alignment horizontal="center" wrapText="1"/>
      <protection hidden="1"/>
    </xf>
    <xf numFmtId="0" fontId="1" fillId="0" borderId="38" xfId="0" applyFont="1" applyBorder="1" applyAlignment="1" applyProtection="1">
      <alignment horizontal="center" wrapText="1"/>
      <protection hidden="1"/>
    </xf>
    <xf numFmtId="44" fontId="0" fillId="0" borderId="12" xfId="3" applyFont="1" applyFill="1" applyBorder="1" applyAlignment="1">
      <alignment wrapText="1"/>
    </xf>
    <xf numFmtId="44" fontId="0" fillId="0" borderId="1" xfId="3" applyFont="1" applyFill="1" applyBorder="1" applyAlignment="1">
      <alignment wrapText="1"/>
    </xf>
    <xf numFmtId="165" fontId="0" fillId="0" borderId="9" xfId="4" applyNumberFormat="1" applyFont="1" applyFill="1" applyBorder="1"/>
    <xf numFmtId="3" fontId="12" fillId="7" borderId="1" xfId="0" applyNumberFormat="1" applyFont="1" applyFill="1" applyBorder="1" applyAlignment="1">
      <alignment horizontal="center" wrapText="1"/>
    </xf>
    <xf numFmtId="3" fontId="12" fillId="7" borderId="28" xfId="0" applyNumberFormat="1" applyFont="1" applyFill="1" applyBorder="1" applyAlignment="1">
      <alignment horizontal="center" wrapText="1"/>
    </xf>
    <xf numFmtId="0" fontId="12" fillId="24" borderId="28" xfId="0" applyFont="1" applyFill="1" applyBorder="1" applyAlignment="1">
      <alignment horizontal="center" wrapText="1"/>
    </xf>
    <xf numFmtId="0" fontId="8" fillId="25" borderId="13" xfId="0" applyFont="1" applyFill="1" applyBorder="1" applyAlignment="1">
      <alignment horizontal="center" vertical="center" wrapText="1"/>
    </xf>
    <xf numFmtId="0" fontId="8" fillId="25" borderId="31" xfId="0" applyFont="1" applyFill="1" applyBorder="1" applyAlignment="1">
      <alignment horizontal="center" vertical="center" wrapText="1"/>
    </xf>
    <xf numFmtId="0" fontId="8" fillId="22" borderId="32" xfId="0" applyFont="1" applyFill="1" applyBorder="1" applyAlignment="1">
      <alignment horizontal="center" vertical="center" wrapText="1"/>
    </xf>
    <xf numFmtId="0" fontId="8" fillId="22" borderId="13" xfId="0" applyFont="1" applyFill="1" applyBorder="1" applyAlignment="1">
      <alignment horizontal="center" vertical="center" wrapText="1"/>
    </xf>
    <xf numFmtId="0" fontId="8" fillId="22" borderId="31" xfId="0" applyFont="1" applyFill="1" applyBorder="1" applyAlignment="1">
      <alignment horizontal="center" vertical="center" wrapText="1"/>
    </xf>
    <xf numFmtId="0" fontId="8" fillId="26" borderId="32" xfId="0" applyFont="1" applyFill="1" applyBorder="1" applyAlignment="1">
      <alignment horizontal="center" vertical="center" wrapText="1"/>
    </xf>
    <xf numFmtId="0" fontId="8" fillId="26" borderId="13" xfId="0" applyFont="1" applyFill="1" applyBorder="1" applyAlignment="1">
      <alignment horizontal="center" vertical="center" wrapText="1"/>
    </xf>
    <xf numFmtId="0" fontId="8" fillId="26" borderId="31" xfId="0" applyFont="1" applyFill="1" applyBorder="1" applyAlignment="1">
      <alignment horizontal="center" vertical="center" wrapText="1"/>
    </xf>
    <xf numFmtId="0" fontId="1" fillId="25" borderId="8" xfId="0" applyFont="1" applyFill="1" applyBorder="1" applyAlignment="1">
      <alignment horizontal="center" vertical="center" wrapText="1"/>
    </xf>
    <xf numFmtId="0" fontId="2" fillId="0" borderId="1" xfId="0" applyFont="1" applyBorder="1" applyAlignment="1">
      <alignment horizontal="left"/>
    </xf>
    <xf numFmtId="0" fontId="0" fillId="0" borderId="1" xfId="0" applyBorder="1" applyAlignment="1">
      <alignment horizontal="left"/>
    </xf>
    <xf numFmtId="0" fontId="0" fillId="0" borderId="2" xfId="0" applyBorder="1" applyAlignment="1">
      <alignment horizontal="right"/>
    </xf>
    <xf numFmtId="0" fontId="30" fillId="0" borderId="44" xfId="0" applyFont="1" applyBorder="1" applyAlignment="1">
      <alignment horizontal="center" vertical="center"/>
    </xf>
    <xf numFmtId="0" fontId="0" fillId="0" borderId="45" xfId="0" applyBorder="1" applyAlignment="1">
      <alignment horizontal="right"/>
    </xf>
    <xf numFmtId="0" fontId="30" fillId="0" borderId="46" xfId="0" applyFont="1" applyBorder="1" applyAlignment="1">
      <alignment horizontal="center" vertical="center"/>
    </xf>
    <xf numFmtId="165" fontId="0" fillId="0" borderId="1" xfId="0" applyNumberFormat="1" applyBorder="1" applyAlignment="1" applyProtection="1">
      <alignment horizontal="center"/>
      <protection locked="0"/>
    </xf>
    <xf numFmtId="43" fontId="0" fillId="0" borderId="1" xfId="0" applyNumberFormat="1" applyBorder="1" applyAlignment="1" applyProtection="1">
      <alignment horizontal="center"/>
      <protection locked="0"/>
    </xf>
    <xf numFmtId="164" fontId="0" fillId="0" borderId="0" xfId="3" applyNumberFormat="1" applyFont="1" applyProtection="1">
      <protection locked="0"/>
    </xf>
    <xf numFmtId="49" fontId="0" fillId="0" borderId="1" xfId="0" applyNumberFormat="1" applyBorder="1" applyAlignment="1" applyProtection="1">
      <alignment horizontal="center"/>
      <protection locked="0"/>
    </xf>
    <xf numFmtId="165" fontId="5" fillId="0" borderId="1" xfId="4" applyNumberFormat="1" applyFont="1" applyFill="1" applyBorder="1" applyAlignment="1" applyProtection="1">
      <alignment horizontal="center"/>
      <protection locked="0"/>
    </xf>
    <xf numFmtId="165" fontId="0" fillId="19" borderId="1" xfId="4" applyNumberFormat="1" applyFont="1" applyFill="1" applyBorder="1" applyAlignment="1" applyProtection="1">
      <alignment horizontal="center"/>
      <protection locked="0"/>
    </xf>
    <xf numFmtId="165" fontId="0" fillId="0" borderId="1" xfId="4" applyNumberFormat="1" applyFont="1" applyBorder="1" applyAlignment="1" applyProtection="1">
      <alignment horizontal="center"/>
      <protection locked="0"/>
    </xf>
    <xf numFmtId="165" fontId="5" fillId="0" borderId="1" xfId="4" applyNumberFormat="1" applyFont="1" applyFill="1" applyBorder="1" applyAlignment="1" applyProtection="1">
      <alignment horizontal="right"/>
      <protection locked="0"/>
    </xf>
    <xf numFmtId="164" fontId="0" fillId="0" borderId="1" xfId="3" applyNumberFormat="1" applyFont="1" applyFill="1" applyBorder="1" applyProtection="1">
      <protection locked="0"/>
    </xf>
    <xf numFmtId="164" fontId="0" fillId="0" borderId="2" xfId="3" applyNumberFormat="1" applyFont="1" applyFill="1" applyBorder="1" applyProtection="1">
      <protection locked="0"/>
    </xf>
    <xf numFmtId="164" fontId="22" fillId="0" borderId="1" xfId="3" applyNumberFormat="1" applyFont="1" applyFill="1" applyBorder="1" applyProtection="1">
      <protection locked="0"/>
    </xf>
    <xf numFmtId="164" fontId="22" fillId="0" borderId="2" xfId="3" applyNumberFormat="1" applyFont="1" applyFill="1" applyBorder="1" applyProtection="1">
      <protection locked="0"/>
    </xf>
    <xf numFmtId="164" fontId="0" fillId="0" borderId="1" xfId="3" applyNumberFormat="1" applyFont="1" applyBorder="1" applyProtection="1">
      <protection locked="0"/>
    </xf>
    <xf numFmtId="164" fontId="0" fillId="0" borderId="1" xfId="3" applyNumberFormat="1" applyFont="1" applyBorder="1"/>
    <xf numFmtId="0" fontId="0" fillId="0" borderId="47" xfId="0" applyBorder="1" applyAlignment="1">
      <alignment horizontal="right"/>
    </xf>
    <xf numFmtId="167" fontId="0" fillId="0" borderId="1" xfId="5" applyNumberFormat="1" applyFont="1" applyBorder="1"/>
    <xf numFmtId="164" fontId="10" fillId="0" borderId="1" xfId="3" applyNumberFormat="1" applyFont="1" applyBorder="1"/>
    <xf numFmtId="164" fontId="0" fillId="0" borderId="1" xfId="0" applyNumberFormat="1" applyBorder="1"/>
    <xf numFmtId="1" fontId="0" fillId="0" borderId="1" xfId="0" applyNumberFormat="1" applyBorder="1"/>
    <xf numFmtId="164" fontId="0" fillId="0" borderId="12" xfId="0" applyNumberFormat="1" applyBorder="1"/>
    <xf numFmtId="0" fontId="1" fillId="25" borderId="48" xfId="0" applyFont="1" applyFill="1" applyBorder="1" applyAlignment="1">
      <alignment horizontal="center" vertical="center" wrapText="1"/>
    </xf>
    <xf numFmtId="0" fontId="1" fillId="25" borderId="49" xfId="0" applyFont="1" applyFill="1" applyBorder="1" applyAlignment="1">
      <alignment horizontal="center" vertical="center" wrapText="1"/>
    </xf>
    <xf numFmtId="1" fontId="0" fillId="0" borderId="18" xfId="0" applyNumberFormat="1" applyBorder="1"/>
    <xf numFmtId="164" fontId="0" fillId="0" borderId="20" xfId="0" applyNumberFormat="1" applyBorder="1"/>
    <xf numFmtId="1" fontId="0" fillId="0" borderId="21" xfId="0" applyNumberFormat="1" applyBorder="1"/>
    <xf numFmtId="0" fontId="1" fillId="22" borderId="48" xfId="0" applyFont="1" applyFill="1" applyBorder="1" applyAlignment="1">
      <alignment horizontal="center" vertical="center" wrapText="1"/>
    </xf>
    <xf numFmtId="0" fontId="1" fillId="22" borderId="49" xfId="0" applyFont="1" applyFill="1" applyBorder="1" applyAlignment="1">
      <alignment horizontal="center" vertical="center" wrapText="1"/>
    </xf>
    <xf numFmtId="164" fontId="0" fillId="0" borderId="17" xfId="0" applyNumberFormat="1" applyBorder="1"/>
    <xf numFmtId="164" fontId="0" fillId="0" borderId="19" xfId="0" applyNumberFormat="1" applyBorder="1"/>
    <xf numFmtId="0" fontId="0" fillId="0" borderId="51" xfId="0" applyBorder="1" applyAlignment="1">
      <alignment horizontal="right"/>
    </xf>
    <xf numFmtId="0" fontId="1" fillId="25" borderId="52" xfId="0" applyFont="1" applyFill="1" applyBorder="1" applyAlignment="1">
      <alignment horizontal="center" vertical="center" wrapText="1"/>
    </xf>
    <xf numFmtId="164" fontId="0" fillId="0" borderId="23" xfId="0" applyNumberFormat="1" applyBorder="1"/>
    <xf numFmtId="164" fontId="0" fillId="0" borderId="20" xfId="3" applyNumberFormat="1" applyFont="1" applyBorder="1"/>
    <xf numFmtId="0" fontId="1" fillId="22" borderId="52" xfId="0" applyFont="1" applyFill="1" applyBorder="1" applyAlignment="1">
      <alignment horizontal="center" vertical="center" wrapText="1"/>
    </xf>
    <xf numFmtId="164" fontId="0" fillId="0" borderId="12" xfId="3" applyNumberFormat="1" applyFont="1" applyBorder="1"/>
    <xf numFmtId="164" fontId="0" fillId="0" borderId="23" xfId="3" applyNumberFormat="1" applyFont="1" applyBorder="1"/>
    <xf numFmtId="0" fontId="10" fillId="2" borderId="1" xfId="0" applyFont="1" applyFill="1" applyBorder="1" applyAlignment="1">
      <alignment wrapText="1"/>
    </xf>
    <xf numFmtId="164" fontId="0" fillId="6" borderId="1" xfId="3" applyNumberFormat="1" applyFont="1" applyFill="1" applyBorder="1"/>
    <xf numFmtId="49" fontId="31" fillId="0" borderId="48" xfId="0" applyNumberFormat="1" applyFont="1" applyBorder="1" applyAlignment="1">
      <alignment horizontal="center" vertical="center"/>
    </xf>
    <xf numFmtId="49" fontId="31" fillId="0" borderId="50" xfId="0" applyNumberFormat="1" applyFont="1" applyBorder="1" applyAlignment="1">
      <alignment horizontal="center" vertical="center"/>
    </xf>
    <xf numFmtId="2" fontId="0" fillId="0" borderId="0" xfId="0" applyNumberFormat="1"/>
    <xf numFmtId="0" fontId="0" fillId="0" borderId="12" xfId="0" applyBorder="1" applyAlignment="1" applyProtection="1">
      <alignment horizontal="center"/>
      <protection hidden="1"/>
    </xf>
    <xf numFmtId="0" fontId="0" fillId="0" borderId="30" xfId="0" applyBorder="1" applyAlignment="1" applyProtection="1">
      <alignment horizontal="center"/>
      <protection hidden="1"/>
    </xf>
    <xf numFmtId="0" fontId="0" fillId="0" borderId="4" xfId="0" applyBorder="1" applyAlignment="1" applyProtection="1">
      <alignment horizontal="center"/>
      <protection hidden="1"/>
    </xf>
    <xf numFmtId="167" fontId="0" fillId="0" borderId="0" xfId="5" applyNumberFormat="1" applyFont="1"/>
    <xf numFmtId="0" fontId="1" fillId="27" borderId="1" xfId="0" applyFont="1" applyFill="1" applyBorder="1" applyAlignment="1">
      <alignment horizontal="center" vertical="center" wrapText="1"/>
    </xf>
    <xf numFmtId="0" fontId="31" fillId="0" borderId="0" xfId="0" applyFont="1"/>
    <xf numFmtId="1" fontId="0" fillId="0" borderId="1" xfId="4" applyNumberFormat="1" applyFont="1" applyBorder="1"/>
    <xf numFmtId="0" fontId="32" fillId="0" borderId="0" xfId="6" applyAlignment="1">
      <alignment wrapText="1"/>
    </xf>
    <xf numFmtId="1" fontId="0" fillId="0" borderId="14" xfId="4" applyNumberFormat="1" applyFont="1" applyBorder="1"/>
    <xf numFmtId="1" fontId="0" fillId="0" borderId="16" xfId="4" applyNumberFormat="1" applyFont="1" applyBorder="1"/>
    <xf numFmtId="1" fontId="0" fillId="0" borderId="17" xfId="4" applyNumberFormat="1" applyFont="1" applyBorder="1"/>
    <xf numFmtId="1" fontId="0" fillId="0" borderId="18" xfId="4" applyNumberFormat="1" applyFont="1" applyBorder="1"/>
    <xf numFmtId="1" fontId="0" fillId="0" borderId="19" xfId="4" applyNumberFormat="1" applyFont="1" applyBorder="1"/>
    <xf numFmtId="1" fontId="0" fillId="0" borderId="21" xfId="4" applyNumberFormat="1" applyFont="1" applyBorder="1"/>
    <xf numFmtId="2" fontId="19" fillId="0" borderId="1" xfId="0" applyNumberFormat="1" applyFont="1" applyBorder="1"/>
    <xf numFmtId="0" fontId="19" fillId="0" borderId="1" xfId="0" applyFont="1" applyBorder="1"/>
    <xf numFmtId="2" fontId="19" fillId="0" borderId="17" xfId="0" applyNumberFormat="1" applyFont="1" applyBorder="1"/>
    <xf numFmtId="0" fontId="19" fillId="0" borderId="18" xfId="0" applyFont="1" applyBorder="1"/>
    <xf numFmtId="1" fontId="0" fillId="0" borderId="20" xfId="4" applyNumberFormat="1" applyFont="1" applyBorder="1"/>
    <xf numFmtId="2" fontId="19" fillId="0" borderId="14" xfId="0" applyNumberFormat="1" applyFont="1" applyBorder="1"/>
    <xf numFmtId="2" fontId="19" fillId="0" borderId="15" xfId="0" applyNumberFormat="1" applyFont="1" applyBorder="1"/>
    <xf numFmtId="0" fontId="19" fillId="0" borderId="15" xfId="0" applyFont="1" applyBorder="1"/>
    <xf numFmtId="0" fontId="19" fillId="0" borderId="16" xfId="0" applyFont="1" applyBorder="1"/>
    <xf numFmtId="2" fontId="19" fillId="0" borderId="44" xfId="0" applyNumberFormat="1" applyFont="1" applyBorder="1"/>
    <xf numFmtId="164" fontId="34" fillId="0" borderId="13" xfId="3" applyNumberFormat="1" applyFont="1" applyFill="1" applyBorder="1" applyAlignment="1" applyProtection="1">
      <alignment horizontal="center"/>
    </xf>
    <xf numFmtId="0" fontId="12" fillId="21" borderId="26" xfId="0" applyFont="1" applyFill="1" applyBorder="1" applyAlignment="1">
      <alignment horizontal="center" vertical="center" wrapText="1"/>
    </xf>
    <xf numFmtId="0" fontId="12" fillId="24" borderId="13" xfId="0" applyFont="1" applyFill="1" applyBorder="1" applyAlignment="1">
      <alignment horizontal="center" vertical="center" wrapText="1"/>
    </xf>
    <xf numFmtId="167" fontId="12" fillId="21" borderId="26" xfId="0" applyNumberFormat="1" applyFont="1" applyFill="1" applyBorder="1" applyAlignment="1">
      <alignment horizontal="center" vertical="center" wrapText="1"/>
    </xf>
    <xf numFmtId="167" fontId="34" fillId="0" borderId="13" xfId="3" applyNumberFormat="1" applyFont="1" applyFill="1" applyBorder="1" applyAlignment="1" applyProtection="1">
      <alignment horizontal="center"/>
    </xf>
    <xf numFmtId="0" fontId="32" fillId="0" borderId="0" xfId="6"/>
    <xf numFmtId="0" fontId="12" fillId="21" borderId="13" xfId="0" applyFont="1" applyFill="1" applyBorder="1" applyAlignment="1">
      <alignment horizontal="center" vertical="center" wrapText="1"/>
    </xf>
    <xf numFmtId="167" fontId="12" fillId="21" borderId="13" xfId="0" applyNumberFormat="1" applyFont="1" applyFill="1" applyBorder="1" applyAlignment="1">
      <alignment horizontal="center" vertical="center" wrapText="1"/>
    </xf>
    <xf numFmtId="0" fontId="12" fillId="24" borderId="26" xfId="0" applyFont="1" applyFill="1" applyBorder="1" applyAlignment="1">
      <alignment horizontal="center" vertical="center" wrapText="1"/>
    </xf>
    <xf numFmtId="43" fontId="0" fillId="0" borderId="0" xfId="4" applyFont="1" applyProtection="1">
      <protection locked="0"/>
    </xf>
    <xf numFmtId="0" fontId="32" fillId="27" borderId="0" xfId="6" applyFill="1" applyAlignment="1">
      <alignment horizontal="center"/>
    </xf>
    <xf numFmtId="0" fontId="0" fillId="0" borderId="17" xfId="0" applyBorder="1" applyAlignment="1">
      <alignment horizontal="right"/>
    </xf>
    <xf numFmtId="0" fontId="0" fillId="0" borderId="19" xfId="0" applyBorder="1" applyAlignment="1">
      <alignment horizontal="right"/>
    </xf>
    <xf numFmtId="164" fontId="10" fillId="0" borderId="20" xfId="3" applyNumberFormat="1" applyFont="1" applyBorder="1"/>
    <xf numFmtId="164" fontId="10" fillId="0" borderId="17" xfId="3" applyNumberFormat="1" applyFont="1" applyBorder="1"/>
    <xf numFmtId="164" fontId="10" fillId="0" borderId="19" xfId="3" applyNumberFormat="1" applyFont="1" applyBorder="1"/>
    <xf numFmtId="0" fontId="11" fillId="0" borderId="12" xfId="0" applyFont="1" applyBorder="1" applyProtection="1">
      <protection locked="0"/>
    </xf>
    <xf numFmtId="0" fontId="11" fillId="0" borderId="1" xfId="0" applyFont="1" applyBorder="1" applyAlignment="1" applyProtection="1">
      <alignment horizontal="center"/>
      <protection locked="0"/>
    </xf>
    <xf numFmtId="3" fontId="11" fillId="0" borderId="1" xfId="0" applyNumberFormat="1" applyFont="1" applyBorder="1" applyAlignment="1" applyProtection="1">
      <alignment horizontal="center"/>
      <protection locked="0"/>
    </xf>
    <xf numFmtId="2" fontId="11" fillId="0" borderId="1" xfId="0" applyNumberFormat="1" applyFont="1" applyBorder="1" applyAlignment="1" applyProtection="1">
      <alignment horizontal="center"/>
      <protection locked="0"/>
    </xf>
    <xf numFmtId="164" fontId="11" fillId="0" borderId="1" xfId="3" applyNumberFormat="1" applyFont="1" applyFill="1" applyBorder="1" applyAlignment="1" applyProtection="1">
      <alignment horizontal="center"/>
      <protection locked="0"/>
    </xf>
    <xf numFmtId="0" fontId="11" fillId="0" borderId="12" xfId="0" applyFont="1" applyBorder="1" applyAlignment="1" applyProtection="1">
      <alignment horizontal="center" vertical="center"/>
      <protection locked="0"/>
    </xf>
    <xf numFmtId="0" fontId="11" fillId="0" borderId="1" xfId="0" applyFont="1" applyBorder="1" applyProtection="1">
      <protection locked="0"/>
    </xf>
    <xf numFmtId="41" fontId="11" fillId="0" borderId="1" xfId="3" applyNumberFormat="1" applyFont="1" applyFill="1" applyBorder="1" applyProtection="1">
      <protection locked="0"/>
    </xf>
    <xf numFmtId="44" fontId="11" fillId="0" borderId="1" xfId="3" applyFont="1" applyFill="1" applyBorder="1" applyProtection="1">
      <protection locked="0"/>
    </xf>
    <xf numFmtId="165" fontId="11" fillId="0" borderId="1" xfId="4" applyNumberFormat="1" applyFont="1" applyFill="1" applyBorder="1" applyProtection="1">
      <protection locked="0"/>
    </xf>
    <xf numFmtId="44" fontId="11" fillId="0" borderId="2" xfId="3" applyFont="1" applyFill="1" applyBorder="1" applyProtection="1">
      <protection locked="0"/>
    </xf>
    <xf numFmtId="41" fontId="24" fillId="0" borderId="1" xfId="3" applyNumberFormat="1" applyFont="1" applyFill="1" applyBorder="1" applyProtection="1">
      <protection locked="0"/>
    </xf>
    <xf numFmtId="44" fontId="24" fillId="0" borderId="1" xfId="3" applyFont="1" applyFill="1" applyBorder="1" applyProtection="1">
      <protection locked="0"/>
    </xf>
    <xf numFmtId="165" fontId="24" fillId="0" borderId="1" xfId="4" applyNumberFormat="1" applyFont="1" applyFill="1" applyBorder="1" applyProtection="1">
      <protection locked="0"/>
    </xf>
    <xf numFmtId="44" fontId="24" fillId="0" borderId="2" xfId="3" applyFont="1" applyFill="1" applyBorder="1" applyProtection="1">
      <protection locked="0"/>
    </xf>
    <xf numFmtId="168" fontId="0" fillId="0" borderId="1" xfId="0" applyNumberFormat="1" applyBorder="1"/>
    <xf numFmtId="168" fontId="0" fillId="0" borderId="1" xfId="0" applyNumberFormat="1" applyBorder="1" applyProtection="1">
      <protection locked="0"/>
    </xf>
    <xf numFmtId="0" fontId="1" fillId="25" borderId="50" xfId="0" applyFont="1" applyFill="1" applyBorder="1" applyAlignment="1">
      <alignment horizontal="center" vertical="center" wrapText="1"/>
    </xf>
    <xf numFmtId="0" fontId="1" fillId="22" borderId="50" xfId="0" applyFont="1" applyFill="1" applyBorder="1" applyAlignment="1">
      <alignment horizontal="center" vertical="center" wrapText="1"/>
    </xf>
    <xf numFmtId="0" fontId="25" fillId="0" borderId="0" xfId="0" applyFont="1"/>
    <xf numFmtId="169" fontId="4" fillId="0" borderId="1" xfId="4" applyNumberFormat="1" applyFont="1" applyFill="1" applyBorder="1" applyAlignment="1" applyProtection="1">
      <alignment horizontal="center"/>
    </xf>
    <xf numFmtId="0" fontId="0" fillId="0" borderId="1" xfId="0"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19" borderId="1" xfId="0" applyFont="1" applyFill="1" applyBorder="1" applyAlignment="1" applyProtection="1">
      <alignment horizontal="center" vertical="center"/>
      <protection locked="0"/>
    </xf>
    <xf numFmtId="0" fontId="0" fillId="19" borderId="1" xfId="0" applyFill="1" applyBorder="1" applyAlignment="1" applyProtection="1">
      <alignment horizontal="center" vertical="center"/>
      <protection locked="0"/>
    </xf>
    <xf numFmtId="0" fontId="0" fillId="0" borderId="13" xfId="0" applyBorder="1" applyAlignment="1" applyProtection="1">
      <alignment horizontal="center"/>
      <protection locked="0"/>
    </xf>
    <xf numFmtId="3" fontId="0" fillId="0" borderId="6" xfId="0" applyNumberFormat="1" applyBorder="1" applyProtection="1">
      <protection locked="0"/>
    </xf>
    <xf numFmtId="0" fontId="0" fillId="0" borderId="13" xfId="0" applyBorder="1" applyProtection="1">
      <protection locked="0"/>
    </xf>
    <xf numFmtId="0" fontId="10" fillId="18" borderId="2" xfId="0" applyFont="1" applyFill="1" applyBorder="1"/>
    <xf numFmtId="0" fontId="10" fillId="18" borderId="2" xfId="0" applyFont="1" applyFill="1" applyBorder="1" applyProtection="1">
      <protection hidden="1"/>
    </xf>
    <xf numFmtId="0" fontId="0" fillId="18" borderId="2" xfId="0" applyFill="1" applyBorder="1"/>
    <xf numFmtId="0" fontId="0" fillId="18" borderId="3" xfId="0" applyFill="1" applyBorder="1"/>
    <xf numFmtId="0" fontId="0" fillId="18" borderId="1" xfId="0" applyFill="1" applyBorder="1" applyAlignment="1" applyProtection="1">
      <alignment horizontal="center"/>
      <protection hidden="1"/>
    </xf>
    <xf numFmtId="3" fontId="0" fillId="18" borderId="1" xfId="0" applyNumberFormat="1" applyFill="1" applyBorder="1"/>
    <xf numFmtId="41" fontId="0" fillId="18" borderId="1" xfId="3" applyNumberFormat="1" applyFont="1" applyFill="1" applyBorder="1" applyProtection="1">
      <protection hidden="1"/>
    </xf>
    <xf numFmtId="44" fontId="0" fillId="18" borderId="1" xfId="3" applyFont="1" applyFill="1" applyBorder="1" applyProtection="1">
      <protection hidden="1"/>
    </xf>
    <xf numFmtId="3" fontId="0" fillId="18" borderId="1" xfId="0" applyNumberFormat="1" applyFill="1" applyBorder="1" applyAlignment="1">
      <alignment horizontal="right"/>
    </xf>
    <xf numFmtId="42" fontId="0" fillId="18" borderId="1" xfId="3" applyNumberFormat="1" applyFont="1" applyFill="1" applyBorder="1" applyProtection="1">
      <protection hidden="1"/>
    </xf>
    <xf numFmtId="41" fontId="0" fillId="18" borderId="1" xfId="3" applyNumberFormat="1" applyFont="1" applyFill="1" applyBorder="1" applyAlignment="1" applyProtection="1">
      <alignment horizontal="center"/>
      <protection hidden="1"/>
    </xf>
    <xf numFmtId="3" fontId="0" fillId="18" borderId="1" xfId="0" applyNumberFormat="1" applyFill="1" applyBorder="1" applyAlignment="1" applyProtection="1">
      <alignment horizontal="center"/>
      <protection locked="0"/>
    </xf>
    <xf numFmtId="44" fontId="0" fillId="18" borderId="1" xfId="3" applyFont="1" applyFill="1" applyBorder="1" applyAlignment="1">
      <alignment vertical="center"/>
    </xf>
    <xf numFmtId="0" fontId="28" fillId="18" borderId="1" xfId="0" applyFont="1" applyFill="1" applyBorder="1" applyAlignment="1">
      <alignment vertical="center"/>
    </xf>
    <xf numFmtId="164" fontId="28" fillId="18" borderId="1" xfId="3" applyNumberFormat="1" applyFont="1" applyFill="1" applyBorder="1" applyAlignment="1">
      <alignment vertical="center"/>
    </xf>
    <xf numFmtId="44" fontId="28" fillId="18" borderId="1" xfId="3" applyFont="1" applyFill="1" applyBorder="1" applyAlignment="1">
      <alignment horizontal="right" vertical="center" wrapText="1"/>
    </xf>
    <xf numFmtId="44" fontId="28" fillId="18" borderId="1" xfId="3" applyFont="1" applyFill="1" applyBorder="1" applyAlignment="1">
      <alignment vertical="center"/>
    </xf>
    <xf numFmtId="164" fontId="0" fillId="18" borderId="1" xfId="3" applyNumberFormat="1" applyFont="1" applyFill="1" applyBorder="1" applyAlignment="1">
      <alignment vertical="center"/>
    </xf>
    <xf numFmtId="3" fontId="10" fillId="18" borderId="1" xfId="0" applyNumberFormat="1" applyFont="1" applyFill="1" applyBorder="1" applyAlignment="1" applyProtection="1">
      <alignment horizontal="center"/>
      <protection locked="0"/>
    </xf>
    <xf numFmtId="44" fontId="0" fillId="18" borderId="1" xfId="3" applyFont="1" applyFill="1" applyBorder="1" applyAlignment="1">
      <alignment horizontal="right" vertical="center" wrapText="1"/>
    </xf>
    <xf numFmtId="3" fontId="0" fillId="18" borderId="1" xfId="4" applyNumberFormat="1" applyFont="1" applyFill="1" applyBorder="1" applyAlignment="1" applyProtection="1">
      <alignment horizontal="center"/>
      <protection locked="0"/>
    </xf>
    <xf numFmtId="165" fontId="28" fillId="18" borderId="1" xfId="0" applyNumberFormat="1" applyFont="1" applyFill="1" applyBorder="1" applyAlignment="1">
      <alignment horizontal="right" vertical="center"/>
    </xf>
    <xf numFmtId="165" fontId="0" fillId="18" borderId="0" xfId="4" applyNumberFormat="1" applyFont="1" applyFill="1" applyProtection="1">
      <protection locked="0"/>
    </xf>
    <xf numFmtId="0" fontId="12" fillId="7" borderId="0" xfId="0" applyFont="1" applyFill="1" applyAlignment="1">
      <alignment horizontal="center" wrapText="1"/>
    </xf>
    <xf numFmtId="0" fontId="0" fillId="0" borderId="1" xfId="0" applyBorder="1" applyAlignment="1" applyProtection="1">
      <alignment horizontal="left" vertical="top"/>
      <protection locked="0"/>
    </xf>
    <xf numFmtId="0" fontId="0" fillId="0" borderId="1" xfId="0" applyBorder="1" applyAlignment="1" applyProtection="1">
      <alignment horizontal="left" vertical="top" wrapText="1"/>
      <protection locked="0"/>
    </xf>
    <xf numFmtId="0" fontId="0" fillId="0" borderId="0" xfId="0" applyAlignment="1">
      <alignment horizontal="center" vertical="center"/>
    </xf>
    <xf numFmtId="0" fontId="0" fillId="0" borderId="0" xfId="0" applyAlignment="1">
      <alignment horizontal="center" vertical="center" wrapText="1"/>
    </xf>
    <xf numFmtId="0" fontId="17" fillId="0" borderId="0" xfId="0" applyFont="1" applyAlignment="1">
      <alignment horizontal="left" wrapText="1"/>
    </xf>
    <xf numFmtId="0" fontId="17" fillId="0" borderId="7" xfId="0" applyFont="1" applyBorder="1" applyAlignment="1">
      <alignment horizontal="left" wrapText="1"/>
    </xf>
    <xf numFmtId="0" fontId="32" fillId="0" borderId="0" xfId="6" applyAlignment="1">
      <alignment horizontal="center" vertical="center" wrapText="1"/>
    </xf>
    <xf numFmtId="0" fontId="32" fillId="0" borderId="0" xfId="6" applyAlignment="1">
      <alignment horizontal="center" wrapText="1"/>
    </xf>
    <xf numFmtId="0" fontId="12" fillId="7" borderId="3" xfId="0" applyFont="1" applyFill="1" applyBorder="1" applyAlignment="1">
      <alignment horizontal="center" wrapText="1"/>
    </xf>
    <xf numFmtId="0" fontId="12" fillId="7" borderId="4" xfId="0" applyFont="1" applyFill="1" applyBorder="1" applyAlignment="1">
      <alignment horizontal="center"/>
    </xf>
    <xf numFmtId="0" fontId="12" fillId="7" borderId="5" xfId="0" applyFont="1" applyFill="1" applyBorder="1" applyAlignment="1">
      <alignment horizontal="center"/>
    </xf>
    <xf numFmtId="0" fontId="12" fillId="7" borderId="6" xfId="0" applyFont="1" applyFill="1" applyBorder="1" applyAlignment="1">
      <alignment horizontal="center"/>
    </xf>
    <xf numFmtId="0" fontId="12" fillId="7" borderId="7" xfId="0" applyFont="1" applyFill="1" applyBorder="1" applyAlignment="1">
      <alignment horizontal="center"/>
    </xf>
    <xf numFmtId="0" fontId="12" fillId="7" borderId="8" xfId="0" applyFont="1" applyFill="1" applyBorder="1" applyAlignment="1">
      <alignment horizontal="center"/>
    </xf>
    <xf numFmtId="0" fontId="12" fillId="7" borderId="1" xfId="0" applyFont="1" applyFill="1" applyBorder="1" applyAlignment="1">
      <alignment horizontal="center"/>
    </xf>
    <xf numFmtId="0" fontId="20" fillId="0" borderId="0" xfId="0" applyFont="1" applyAlignment="1">
      <alignment horizontal="left" vertical="top" wrapText="1"/>
    </xf>
    <xf numFmtId="0" fontId="29" fillId="26" borderId="40" xfId="0" applyFont="1" applyFill="1" applyBorder="1" applyAlignment="1">
      <alignment horizontal="center"/>
    </xf>
    <xf numFmtId="0" fontId="29" fillId="26" borderId="41" xfId="0" applyFont="1" applyFill="1" applyBorder="1" applyAlignment="1">
      <alignment horizontal="center"/>
    </xf>
    <xf numFmtId="0" fontId="29" fillId="26" borderId="42" xfId="0" applyFont="1" applyFill="1" applyBorder="1" applyAlignment="1">
      <alignment horizontal="center"/>
    </xf>
    <xf numFmtId="0" fontId="29" fillId="25" borderId="43" xfId="0" applyFont="1" applyFill="1" applyBorder="1" applyAlignment="1">
      <alignment horizontal="center"/>
    </xf>
    <xf numFmtId="0" fontId="29" fillId="25" borderId="11" xfId="0" applyFont="1" applyFill="1" applyBorder="1" applyAlignment="1">
      <alignment horizontal="center"/>
    </xf>
    <xf numFmtId="0" fontId="29" fillId="25" borderId="39" xfId="0" applyFont="1" applyFill="1" applyBorder="1" applyAlignment="1">
      <alignment horizontal="center"/>
    </xf>
    <xf numFmtId="0" fontId="29" fillId="22" borderId="10" xfId="0" applyFont="1" applyFill="1" applyBorder="1" applyAlignment="1">
      <alignment horizontal="center"/>
    </xf>
    <xf numFmtId="0" fontId="29" fillId="22" borderId="11" xfId="0" applyFont="1" applyFill="1" applyBorder="1" applyAlignment="1">
      <alignment horizontal="center"/>
    </xf>
    <xf numFmtId="0" fontId="29" fillId="22" borderId="39" xfId="0" applyFont="1" applyFill="1" applyBorder="1" applyAlignment="1">
      <alignment horizontal="center"/>
    </xf>
    <xf numFmtId="2" fontId="33" fillId="0" borderId="14" xfId="0" applyNumberFormat="1" applyFont="1" applyBorder="1" applyAlignment="1">
      <alignment horizontal="center"/>
    </xf>
    <xf numFmtId="2" fontId="33" fillId="0" borderId="15" xfId="0" applyNumberFormat="1" applyFont="1" applyBorder="1" applyAlignment="1">
      <alignment horizontal="center"/>
    </xf>
    <xf numFmtId="2" fontId="33" fillId="0" borderId="16" xfId="0" applyNumberFormat="1" applyFont="1" applyBorder="1" applyAlignment="1">
      <alignment horizontal="center"/>
    </xf>
    <xf numFmtId="0" fontId="31" fillId="22" borderId="48" xfId="0" applyFont="1" applyFill="1" applyBorder="1" applyAlignment="1">
      <alignment horizontal="center"/>
    </xf>
    <xf numFmtId="0" fontId="31" fillId="22" borderId="49" xfId="0" applyFont="1" applyFill="1" applyBorder="1" applyAlignment="1">
      <alignment horizontal="center"/>
    </xf>
    <xf numFmtId="0" fontId="31" fillId="22" borderId="50" xfId="0" applyFont="1" applyFill="1" applyBorder="1" applyAlignment="1">
      <alignment horizontal="center"/>
    </xf>
    <xf numFmtId="0" fontId="31" fillId="25" borderId="48" xfId="0" applyFont="1" applyFill="1" applyBorder="1" applyAlignment="1">
      <alignment horizontal="center"/>
    </xf>
    <xf numFmtId="0" fontId="31" fillId="25" borderId="49" xfId="0" applyFont="1" applyFill="1" applyBorder="1" applyAlignment="1">
      <alignment horizontal="center"/>
    </xf>
    <xf numFmtId="0" fontId="31" fillId="25" borderId="50" xfId="0" applyFont="1" applyFill="1" applyBorder="1" applyAlignment="1">
      <alignment horizontal="center"/>
    </xf>
    <xf numFmtId="165" fontId="0" fillId="18" borderId="13" xfId="4" applyNumberFormat="1" applyFont="1" applyFill="1" applyBorder="1" applyAlignment="1" applyProtection="1">
      <alignment horizontal="center" vertical="center"/>
      <protection hidden="1"/>
    </xf>
    <xf numFmtId="41" fontId="0" fillId="18" borderId="13" xfId="3" applyNumberFormat="1" applyFont="1" applyFill="1" applyBorder="1" applyProtection="1">
      <protection hidden="1"/>
    </xf>
    <xf numFmtId="44" fontId="0" fillId="18" borderId="13" xfId="3" applyFont="1" applyFill="1" applyBorder="1" applyProtection="1">
      <protection hidden="1"/>
    </xf>
    <xf numFmtId="165" fontId="0" fillId="18" borderId="1" xfId="4" applyNumberFormat="1" applyFont="1" applyFill="1" applyBorder="1" applyAlignment="1" applyProtection="1">
      <alignment horizontal="center" vertical="center"/>
      <protection hidden="1"/>
    </xf>
    <xf numFmtId="165" fontId="0" fillId="18" borderId="9" xfId="4" applyNumberFormat="1" applyFont="1" applyFill="1" applyBorder="1" applyAlignment="1" applyProtection="1">
      <alignment horizontal="center" vertical="center"/>
      <protection hidden="1"/>
    </xf>
    <xf numFmtId="41" fontId="0" fillId="18" borderId="9" xfId="3" applyNumberFormat="1" applyFont="1" applyFill="1" applyBorder="1" applyProtection="1">
      <protection hidden="1"/>
    </xf>
    <xf numFmtId="44" fontId="0" fillId="18" borderId="9" xfId="3" applyFont="1" applyFill="1" applyBorder="1" applyProtection="1">
      <protection hidden="1"/>
    </xf>
    <xf numFmtId="0" fontId="0" fillId="0" borderId="9" xfId="0" applyBorder="1" applyAlignment="1">
      <alignment horizontal="center"/>
    </xf>
    <xf numFmtId="0" fontId="12" fillId="24" borderId="1" xfId="0" applyFont="1" applyFill="1" applyBorder="1" applyAlignment="1">
      <alignment horizontal="center" vertical="center" wrapText="1"/>
    </xf>
    <xf numFmtId="165" fontId="0" fillId="0" borderId="1" xfId="4" applyNumberFormat="1" applyFont="1" applyBorder="1" applyProtection="1">
      <protection locked="0"/>
    </xf>
    <xf numFmtId="49" fontId="0" fillId="0" borderId="1" xfId="0" applyNumberFormat="1" applyBorder="1" applyProtection="1">
      <protection locked="0"/>
    </xf>
    <xf numFmtId="2" fontId="0" fillId="0" borderId="1" xfId="0" applyNumberFormat="1" applyBorder="1" applyProtection="1">
      <protection locked="0"/>
    </xf>
  </cellXfs>
  <cellStyles count="7">
    <cellStyle name="Comma" xfId="4" builtinId="3"/>
    <cellStyle name="Comma 2" xfId="2" xr:uid="{00000000-0005-0000-0000-000001000000}"/>
    <cellStyle name="Currency" xfId="3" builtinId="4"/>
    <cellStyle name="Hyperlink" xfId="6" builtinId="8"/>
    <cellStyle name="Normal" xfId="0" builtinId="0"/>
    <cellStyle name="Normal 2" xfId="1" xr:uid="{00000000-0005-0000-0000-000004000000}"/>
    <cellStyle name="Percent" xfId="5" builtinId="5"/>
  </cellStyles>
  <dxfs count="1071">
    <dxf>
      <font>
        <b val="0"/>
        <i val="0"/>
        <strike val="0"/>
        <condense val="0"/>
        <extend val="0"/>
        <outline val="0"/>
        <shadow val="0"/>
        <u val="none"/>
        <vertAlign val="baseline"/>
        <sz val="11"/>
        <color rgb="FF0070C0"/>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33" formatCode="_(* #,##0_);_(* \(#,##0\);_(* &quot;-&quot;_);_(@_)"/>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Calibri"/>
        <family val="2"/>
        <scheme val="minor"/>
      </font>
      <numFmt numFmtId="33" formatCode="_(* #,##0_);_(* \(#,##0\);_(* &quot;-&quot;_);_(@_)"/>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Calibri"/>
        <family val="2"/>
        <scheme val="minor"/>
      </font>
      <numFmt numFmtId="33" formatCode="_(* #,##0_);_(* \(#,##0\);_(* &quot;-&quot;_);_(@_)"/>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Calibri"/>
        <family val="2"/>
        <scheme val="minor"/>
      </font>
      <numFmt numFmtId="33" formatCode="_(* #,##0_);_(* \(#,##0\);_(* &quot;-&quot;_);_(@_)"/>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Calibri"/>
        <family val="2"/>
        <scheme val="minor"/>
      </font>
      <numFmt numFmtId="33" formatCode="_(* #,##0_);_(* \(#,##0\);_(* &quot;-&quot;_);_(@_)"/>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1" hidden="1"/>
    </dxf>
    <dxf>
      <numFmt numFmtId="33" formatCode="_(* #,##0_);_(* \(#,##0\);_(* &quot;-&quot;_);_(@_)"/>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1" hidden="1"/>
    </dxf>
    <dxf>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1" hidden="1"/>
    </dxf>
    <dxf>
      <numFmt numFmtId="33" formatCode="_(* #,##0_);_(* \(#,##0\);_(* &quot;-&quot;_);_(@_)"/>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1" hidden="1"/>
    </dxf>
    <dxf>
      <numFmt numFmtId="165" formatCode="_(* #,##0_);_(* \(#,##0\);_(* &quot;-&quot;??_);_(@_)"/>
      <fill>
        <patternFill patternType="solid">
          <fgColor indexed="64"/>
          <bgColor theme="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ill>
        <patternFill patternType="none">
          <fgColor indexed="64"/>
          <bgColor auto="1"/>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1"/>
    </dxf>
    <dxf>
      <font>
        <color rgb="FF006600"/>
      </font>
      <fill>
        <patternFill>
          <bgColor theme="6"/>
        </patternFill>
      </fill>
    </dxf>
    <dxf>
      <font>
        <color rgb="FF9C0006"/>
      </font>
      <fill>
        <patternFill>
          <bgColor rgb="FFFFC7CE"/>
        </patternFill>
      </fill>
    </dxf>
    <dxf>
      <font>
        <color rgb="FF006600"/>
      </font>
      <fill>
        <patternFill>
          <bgColor theme="6"/>
        </patternFill>
      </fill>
    </dxf>
    <dxf>
      <font>
        <color rgb="FF9C0006"/>
      </font>
      <fill>
        <patternFill>
          <bgColor rgb="FFFFC7CE"/>
        </patternFill>
      </fill>
    </dxf>
    <dxf>
      <font>
        <color rgb="FF006600"/>
      </font>
      <fill>
        <patternFill>
          <bgColor theme="6"/>
        </patternFill>
      </fill>
    </dxf>
    <dxf>
      <font>
        <color rgb="FF9C0006"/>
      </font>
      <fill>
        <patternFill>
          <bgColor rgb="FFFFC7CE"/>
        </patternFill>
      </fill>
    </dxf>
    <dxf>
      <font>
        <color rgb="FF9C0006"/>
      </font>
      <fill>
        <patternFill>
          <bgColor rgb="FFFFC7CE"/>
        </patternFill>
      </fill>
    </dxf>
    <dxf>
      <font>
        <color rgb="FF006600"/>
      </font>
      <fill>
        <patternFill>
          <bgColor theme="6"/>
        </patternFill>
      </fill>
    </dxf>
    <dxf>
      <font>
        <color rgb="FF9C0006"/>
      </font>
      <fill>
        <patternFill>
          <bgColor rgb="FFFFC7CE"/>
        </patternFill>
      </fill>
    </dxf>
    <dxf>
      <font>
        <color rgb="FF006600"/>
      </font>
      <fill>
        <patternFill>
          <bgColor theme="6"/>
        </patternFill>
      </fill>
    </dxf>
    <dxf>
      <font>
        <color rgb="FF9C0006"/>
      </font>
      <fill>
        <patternFill>
          <bgColor rgb="FFFFC7CE"/>
        </patternFill>
      </fill>
    </dxf>
    <dxf>
      <font>
        <color rgb="FF006600"/>
      </font>
      <fill>
        <patternFill>
          <bgColor theme="6"/>
        </patternFill>
      </fill>
    </dxf>
    <dxf>
      <font>
        <color rgb="FF9C0006"/>
      </font>
      <fill>
        <patternFill>
          <bgColor rgb="FFFFC7CE"/>
        </patternFill>
      </fill>
    </dxf>
    <dxf>
      <font>
        <color rgb="FF006600"/>
      </font>
      <fill>
        <patternFill>
          <bgColor theme="6"/>
        </patternFill>
      </fill>
    </dxf>
    <dxf>
      <font>
        <color rgb="FF9C0006"/>
      </font>
      <fill>
        <patternFill>
          <bgColor rgb="FFFFC7CE"/>
        </patternFill>
      </fill>
    </dxf>
    <dxf>
      <font>
        <color rgb="FF006600"/>
      </font>
      <fill>
        <patternFill>
          <bgColor theme="6"/>
        </patternFill>
      </fill>
    </dxf>
    <dxf>
      <font>
        <color rgb="FF9C0006"/>
      </font>
      <fill>
        <patternFill>
          <bgColor rgb="FFFFC7CE"/>
        </patternFill>
      </fill>
    </dxf>
    <dxf>
      <font>
        <color rgb="FF006600"/>
      </font>
      <fill>
        <patternFill>
          <bgColor theme="6"/>
        </patternFill>
      </fill>
    </dxf>
    <dxf>
      <font>
        <color rgb="FF9C0006"/>
      </font>
      <fill>
        <patternFill>
          <bgColor rgb="FFFFC7CE"/>
        </patternFill>
      </fill>
    </dxf>
    <dxf>
      <font>
        <color rgb="FF006600"/>
      </font>
      <fill>
        <patternFill>
          <bgColor theme="6"/>
        </patternFill>
      </fill>
    </dxf>
    <dxf>
      <font>
        <color rgb="FF9C0006"/>
      </font>
      <fill>
        <patternFill>
          <bgColor rgb="FFFF9999"/>
        </patternFill>
      </fill>
    </dxf>
    <dxf>
      <fill>
        <patternFill>
          <bgColor theme="6"/>
        </patternFill>
      </fill>
    </dxf>
    <dxf>
      <font>
        <color rgb="FF9C0006"/>
      </font>
      <fill>
        <patternFill>
          <bgColor rgb="FFFF9999"/>
        </patternFill>
      </fill>
    </dxf>
    <dxf>
      <fill>
        <patternFill>
          <bgColor theme="1"/>
        </patternFill>
      </fill>
    </dxf>
    <dxf>
      <fill>
        <patternFill>
          <bgColor theme="6"/>
        </patternFill>
      </fill>
    </dxf>
    <dxf>
      <font>
        <color rgb="FF9C0006"/>
      </font>
      <fill>
        <patternFill>
          <bgColor rgb="FFFF9999"/>
        </patternFill>
      </fill>
    </dxf>
    <dxf>
      <font>
        <color rgb="FF9C0006"/>
      </font>
      <fill>
        <patternFill>
          <bgColor rgb="FFFF9999"/>
        </patternFill>
      </fill>
    </dxf>
    <dxf>
      <fill>
        <patternFill>
          <bgColor theme="1"/>
        </patternFill>
      </fill>
    </dxf>
    <dxf>
      <fill>
        <patternFill>
          <bgColor theme="6"/>
        </patternFill>
      </fill>
    </dxf>
    <dxf>
      <font>
        <color rgb="FF9C0006"/>
      </font>
      <fill>
        <patternFill>
          <bgColor rgb="FFFF9999"/>
        </patternFill>
      </fill>
    </dxf>
    <dxf>
      <font>
        <color rgb="FF9C0006"/>
      </font>
      <fill>
        <patternFill>
          <bgColor rgb="FFFFC7CE"/>
        </patternFill>
      </fill>
    </dxf>
    <dxf>
      <font>
        <color rgb="FF006600"/>
      </font>
      <fill>
        <patternFill>
          <bgColor theme="6"/>
        </patternFill>
      </fill>
    </dxf>
    <dxf>
      <font>
        <color rgb="FF9C0006"/>
      </font>
      <fill>
        <patternFill>
          <bgColor rgb="FFFFC7CE"/>
        </patternFill>
      </fill>
    </dxf>
    <dxf>
      <font>
        <color rgb="FF006600"/>
      </font>
      <fill>
        <patternFill>
          <bgColor theme="6"/>
        </patternFill>
      </fill>
    </dxf>
    <dxf>
      <font>
        <color rgb="FF9C0006"/>
      </font>
      <fill>
        <patternFill>
          <bgColor rgb="FFFFC7CE"/>
        </patternFill>
      </fill>
    </dxf>
    <dxf>
      <font>
        <color rgb="FF006600"/>
      </font>
      <fill>
        <patternFill>
          <bgColor theme="6"/>
        </patternFill>
      </fill>
    </dxf>
    <dxf>
      <font>
        <color rgb="FF9C0006"/>
      </font>
      <fill>
        <patternFill>
          <bgColor rgb="FFFFC7CE"/>
        </patternFill>
      </fill>
    </dxf>
    <dxf>
      <font>
        <color rgb="FF006600"/>
      </font>
      <fill>
        <patternFill>
          <bgColor theme="6"/>
        </patternFill>
      </fill>
    </dxf>
    <dxf>
      <font>
        <color rgb="FF9C0006"/>
      </font>
      <fill>
        <patternFill>
          <bgColor rgb="FFFFC7CE"/>
        </patternFill>
      </fill>
    </dxf>
    <dxf>
      <font>
        <color rgb="FF006600"/>
      </font>
      <fill>
        <patternFill>
          <bgColor theme="6"/>
        </patternFill>
      </fill>
    </dxf>
    <dxf>
      <font>
        <color rgb="FF9C0006"/>
      </font>
      <fill>
        <patternFill>
          <bgColor rgb="FFFFC7CE"/>
        </patternFill>
      </fill>
    </dxf>
    <dxf>
      <font>
        <color rgb="FF006600"/>
      </font>
      <fill>
        <patternFill>
          <bgColor theme="6"/>
        </patternFill>
      </fill>
    </dxf>
    <dxf>
      <font>
        <color rgb="FF006600"/>
      </font>
      <fill>
        <patternFill>
          <bgColor theme="6"/>
        </patternFill>
      </fill>
    </dxf>
    <dxf>
      <font>
        <color rgb="FF9C0006"/>
      </font>
      <fill>
        <patternFill>
          <bgColor rgb="FFFFC7CE"/>
        </patternFill>
      </fill>
    </dxf>
    <dxf>
      <fill>
        <patternFill>
          <bgColor theme="6"/>
        </patternFill>
      </fill>
    </dxf>
    <dxf>
      <font>
        <color rgb="FF9C0006"/>
      </font>
      <fill>
        <patternFill>
          <bgColor rgb="FFFF9999"/>
        </patternFill>
      </fill>
    </dxf>
    <dxf>
      <fill>
        <patternFill>
          <bgColor theme="6"/>
        </patternFill>
      </fill>
    </dxf>
    <dxf>
      <font>
        <color rgb="FF9C0006"/>
      </font>
      <fill>
        <patternFill>
          <bgColor rgb="FFFF9999"/>
        </patternFill>
      </fill>
    </dxf>
    <dxf>
      <fill>
        <patternFill>
          <bgColor rgb="FFC00000"/>
        </patternFill>
      </fill>
    </dxf>
    <dxf>
      <fill>
        <patternFill>
          <bgColor rgb="FFC00000"/>
        </patternFill>
      </fill>
    </dxf>
    <dxf>
      <fill>
        <patternFill>
          <bgColor theme="5" tint="0.59996337778862885"/>
        </patternFill>
      </fill>
    </dxf>
    <dxf>
      <fill>
        <patternFill>
          <bgColor theme="6"/>
        </patternFill>
      </fill>
    </dxf>
    <dxf>
      <fill>
        <patternFill>
          <bgColor theme="5" tint="0.59996337778862885"/>
        </patternFill>
      </fill>
    </dxf>
    <dxf>
      <fill>
        <patternFill>
          <bgColor theme="6"/>
        </patternFill>
      </fill>
    </dxf>
    <dxf>
      <fill>
        <patternFill>
          <bgColor theme="6"/>
        </patternFill>
      </fill>
    </dxf>
    <dxf>
      <fill>
        <patternFill>
          <bgColor theme="5" tint="0.59996337778862885"/>
        </patternFill>
      </fill>
    </dxf>
    <dxf>
      <fill>
        <patternFill>
          <bgColor theme="5" tint="0.59996337778862885"/>
        </patternFill>
      </fill>
    </dxf>
    <dxf>
      <fill>
        <patternFill>
          <bgColor theme="6"/>
        </patternFill>
      </fill>
    </dxf>
    <dxf>
      <fill>
        <patternFill>
          <bgColor theme="6"/>
        </patternFill>
      </fill>
    </dxf>
    <dxf>
      <fill>
        <patternFill>
          <bgColor theme="5" tint="0.59996337778862885"/>
        </patternFill>
      </fill>
    </dxf>
    <dxf>
      <fill>
        <patternFill>
          <bgColor theme="6"/>
        </patternFill>
      </fill>
    </dxf>
    <dxf>
      <fill>
        <patternFill>
          <bgColor theme="5" tint="0.59996337778862885"/>
        </patternFill>
      </fill>
    </dxf>
    <dxf>
      <fill>
        <patternFill>
          <bgColor theme="5" tint="0.59996337778862885"/>
        </patternFill>
      </fill>
    </dxf>
    <dxf>
      <font>
        <color auto="1"/>
      </font>
      <fill>
        <patternFill>
          <bgColor theme="6"/>
        </patternFill>
      </fill>
    </dxf>
    <dxf>
      <font>
        <color rgb="FF9C0006"/>
      </font>
      <fill>
        <patternFill>
          <bgColor rgb="FFFF9999"/>
        </patternFill>
      </fill>
    </dxf>
    <dxf>
      <fill>
        <patternFill>
          <bgColor theme="6"/>
        </patternFill>
      </fill>
    </dxf>
    <dxf>
      <fill>
        <patternFill>
          <bgColor theme="6"/>
        </patternFill>
      </fill>
    </dxf>
    <dxf>
      <fill>
        <patternFill patternType="none">
          <bgColor auto="1"/>
        </patternFill>
      </fill>
    </dxf>
    <dxf>
      <font>
        <color rgb="FF9C0006"/>
      </font>
      <fill>
        <patternFill>
          <bgColor rgb="FFFF9999"/>
        </patternFill>
      </fill>
    </dxf>
    <dxf>
      <fill>
        <patternFill>
          <bgColor theme="6"/>
        </patternFill>
      </fill>
    </dxf>
    <dxf>
      <font>
        <color rgb="FF9C0006"/>
      </font>
      <fill>
        <patternFill>
          <bgColor rgb="FFFF9999"/>
        </patternFill>
      </fill>
    </dxf>
    <dxf>
      <fill>
        <patternFill patternType="none">
          <bgColor auto="1"/>
        </patternFill>
      </fill>
    </dxf>
    <dxf>
      <font>
        <color rgb="FF006600"/>
      </font>
      <fill>
        <patternFill>
          <bgColor theme="6"/>
        </patternFill>
      </fill>
    </dxf>
    <dxf>
      <font>
        <color rgb="FF9C0006"/>
      </font>
      <fill>
        <patternFill>
          <bgColor rgb="FFFFC7CE"/>
        </patternFill>
      </fill>
    </dxf>
    <dxf>
      <fill>
        <patternFill>
          <bgColor theme="6"/>
        </patternFill>
      </fill>
    </dxf>
    <dxf>
      <font>
        <color rgb="FF9C0006"/>
      </font>
      <fill>
        <patternFill>
          <bgColor rgb="FFFF9999"/>
        </patternFill>
      </fill>
    </dxf>
    <dxf>
      <font>
        <color rgb="FF9C0006"/>
      </font>
      <fill>
        <patternFill>
          <bgColor rgb="FFFF9999"/>
        </patternFill>
      </fill>
    </dxf>
    <dxf>
      <fill>
        <patternFill>
          <bgColor theme="6"/>
        </patternFill>
      </fill>
    </dxf>
    <dxf>
      <font>
        <color rgb="FF9C0006"/>
      </font>
      <fill>
        <patternFill>
          <bgColor rgb="FFFF9999"/>
        </patternFill>
      </fill>
    </dxf>
    <dxf>
      <fill>
        <patternFill>
          <bgColor theme="6"/>
        </patternFill>
      </fill>
    </dxf>
    <dxf>
      <fill>
        <patternFill>
          <bgColor theme="6"/>
        </patternFill>
      </fill>
    </dxf>
    <dxf>
      <font>
        <color rgb="FF9C0006"/>
      </font>
      <fill>
        <patternFill>
          <bgColor rgb="FFFF9999"/>
        </patternFill>
      </fill>
    </dxf>
    <dxf>
      <font>
        <color rgb="FF9C0006"/>
      </font>
      <fill>
        <patternFill>
          <bgColor rgb="FFFF9999"/>
        </patternFill>
      </fill>
    </dxf>
    <dxf>
      <fill>
        <patternFill>
          <bgColor theme="6"/>
        </patternFill>
      </fill>
    </dxf>
    <dxf>
      <fill>
        <patternFill patternType="none">
          <bgColor auto="1"/>
        </patternFill>
      </fill>
    </dxf>
    <dxf>
      <fill>
        <patternFill patternType="none">
          <bgColor auto="1"/>
        </patternFill>
      </fill>
    </dxf>
    <dxf>
      <font>
        <color rgb="FF9C0006"/>
      </font>
      <fill>
        <patternFill>
          <bgColor rgb="FFFF9999"/>
        </patternFill>
      </fill>
    </dxf>
    <dxf>
      <fill>
        <patternFill>
          <bgColor theme="6"/>
        </patternFill>
      </fill>
    </dxf>
    <dxf>
      <font>
        <color rgb="FF9C0006"/>
      </font>
      <fill>
        <patternFill>
          <bgColor rgb="FFFF9999"/>
        </patternFill>
      </fill>
    </dxf>
    <dxf>
      <fill>
        <patternFill>
          <bgColor theme="6"/>
        </patternFill>
      </fill>
    </dxf>
    <dxf>
      <fill>
        <patternFill patternType="none">
          <bgColor auto="1"/>
        </patternFill>
      </fill>
    </dxf>
    <dxf>
      <font>
        <color rgb="FF9C0006"/>
      </font>
      <fill>
        <patternFill>
          <bgColor rgb="FFFF9999"/>
        </patternFill>
      </fill>
    </dxf>
    <dxf>
      <fill>
        <patternFill patternType="none">
          <bgColor auto="1"/>
        </patternFill>
      </fill>
    </dxf>
    <dxf>
      <fill>
        <patternFill>
          <bgColor theme="6"/>
        </patternFill>
      </fill>
    </dxf>
    <dxf>
      <fill>
        <patternFill patternType="none">
          <bgColor auto="1"/>
        </patternFill>
      </fill>
    </dxf>
    <dxf>
      <fill>
        <patternFill>
          <bgColor theme="6"/>
        </patternFill>
      </fill>
    </dxf>
    <dxf>
      <font>
        <color rgb="FF9C0006"/>
      </font>
      <fill>
        <patternFill>
          <bgColor rgb="FFFF9999"/>
        </patternFill>
      </fill>
    </dxf>
    <dxf>
      <fill>
        <patternFill patternType="none">
          <bgColor auto="1"/>
        </patternFill>
      </fill>
    </dxf>
    <dxf>
      <font>
        <color rgb="FF9C0006"/>
      </font>
      <fill>
        <patternFill>
          <bgColor rgb="FFFF9999"/>
        </patternFill>
      </fill>
    </dxf>
    <dxf>
      <fill>
        <patternFill>
          <bgColor theme="6"/>
        </patternFill>
      </fill>
    </dxf>
    <dxf>
      <fill>
        <patternFill>
          <bgColor theme="6"/>
        </patternFill>
      </fill>
    </dxf>
    <dxf>
      <fill>
        <patternFill>
          <bgColor theme="5" tint="0.59996337778862885"/>
        </patternFill>
      </fill>
    </dxf>
    <dxf>
      <fill>
        <patternFill>
          <bgColor theme="6"/>
        </patternFill>
      </fill>
    </dxf>
    <dxf>
      <fill>
        <patternFill>
          <bgColor theme="5" tint="0.59996337778862885"/>
        </patternFill>
      </fill>
    </dxf>
    <dxf>
      <fill>
        <patternFill>
          <bgColor theme="6"/>
        </patternFill>
      </fill>
    </dxf>
    <dxf>
      <fill>
        <patternFill>
          <bgColor theme="5" tint="0.59996337778862885"/>
        </patternFill>
      </fill>
    </dxf>
    <dxf>
      <fill>
        <patternFill>
          <bgColor theme="5" tint="0.59996337778862885"/>
        </patternFill>
      </fill>
    </dxf>
    <dxf>
      <fill>
        <patternFill>
          <bgColor theme="6"/>
        </patternFill>
      </fill>
    </dxf>
    <dxf>
      <fill>
        <patternFill>
          <bgColor theme="5" tint="0.59996337778862885"/>
        </patternFill>
      </fill>
    </dxf>
    <dxf>
      <fill>
        <patternFill>
          <bgColor theme="6"/>
        </patternFill>
      </fill>
    </dxf>
    <dxf>
      <fill>
        <patternFill>
          <bgColor theme="5" tint="0.59996337778862885"/>
        </patternFill>
      </fill>
    </dxf>
    <dxf>
      <fill>
        <patternFill>
          <bgColor theme="6"/>
        </patternFill>
      </fill>
    </dxf>
    <dxf>
      <fill>
        <patternFill>
          <bgColor theme="5" tint="0.59996337778862885"/>
        </patternFill>
      </fill>
    </dxf>
    <dxf>
      <font>
        <color auto="1"/>
      </font>
      <fill>
        <patternFill>
          <bgColor theme="6"/>
        </patternFill>
      </fill>
    </dxf>
    <dxf>
      <fill>
        <patternFill>
          <bgColor rgb="FF9BBB59"/>
        </patternFill>
      </fill>
    </dxf>
    <dxf>
      <fill>
        <patternFill>
          <bgColor rgb="FFFFC7CE"/>
        </patternFill>
      </fill>
    </dxf>
    <dxf>
      <fill>
        <patternFill>
          <bgColor rgb="FF9BBB59"/>
        </patternFill>
      </fill>
    </dxf>
    <dxf>
      <fill>
        <patternFill>
          <bgColor rgb="FFFFC7CE"/>
        </patternFill>
      </fill>
    </dxf>
    <dxf>
      <font>
        <color rgb="FF9C0006"/>
      </font>
      <fill>
        <patternFill>
          <bgColor rgb="FFFFC7CE"/>
        </patternFill>
      </fill>
    </dxf>
    <dxf>
      <font>
        <color rgb="FF006600"/>
      </font>
      <fill>
        <patternFill>
          <bgColor theme="6"/>
        </patternFill>
      </fill>
    </dxf>
    <dxf>
      <font>
        <color rgb="FF006100"/>
      </font>
      <fill>
        <patternFill>
          <bgColor theme="6"/>
        </patternFill>
      </fill>
    </dxf>
    <dxf>
      <font>
        <color rgb="FF9C0006"/>
      </font>
      <fill>
        <patternFill>
          <bgColor rgb="FFFFC7CE"/>
        </patternFill>
      </fill>
    </dxf>
    <dxf>
      <font>
        <color rgb="FF9C0006"/>
      </font>
      <fill>
        <patternFill>
          <bgColor rgb="FFFF9999"/>
        </patternFill>
      </fill>
    </dxf>
    <dxf>
      <font>
        <color rgb="FF006600"/>
      </font>
      <fill>
        <patternFill>
          <bgColor theme="6"/>
        </patternFill>
      </fill>
    </dxf>
    <dxf>
      <font>
        <color rgb="FF9C0006"/>
      </font>
      <fill>
        <patternFill>
          <bgColor rgb="FFFFC7CE"/>
        </patternFill>
      </fill>
    </dxf>
    <dxf>
      <font>
        <color rgb="FF006100"/>
      </font>
      <fill>
        <patternFill>
          <bgColor theme="6"/>
        </patternFill>
      </fill>
    </dxf>
    <dxf>
      <font>
        <color rgb="FF9C0006"/>
      </font>
      <fill>
        <patternFill>
          <bgColor rgb="FFFFC7CE"/>
        </patternFill>
      </fill>
    </dxf>
    <dxf>
      <font>
        <color rgb="FF9C0006"/>
      </font>
      <fill>
        <patternFill>
          <bgColor rgb="FFFF9999"/>
        </patternFill>
      </fill>
    </dxf>
    <dxf>
      <fill>
        <patternFill>
          <bgColor rgb="FF9BBB59"/>
        </patternFill>
      </fill>
    </dxf>
    <dxf>
      <fill>
        <patternFill>
          <bgColor rgb="FFFFC7CE"/>
        </patternFill>
      </fill>
    </dxf>
    <dxf>
      <fill>
        <patternFill>
          <bgColor rgb="FFFFC7CE"/>
        </patternFill>
      </fill>
    </dxf>
    <dxf>
      <fill>
        <patternFill>
          <bgColor rgb="FF9BBB59"/>
        </patternFill>
      </fill>
    </dxf>
    <dxf>
      <fill>
        <patternFill>
          <bgColor rgb="FF9BBB59"/>
        </patternFill>
      </fill>
    </dxf>
    <dxf>
      <fill>
        <patternFill>
          <bgColor rgb="FFFFC7CE"/>
        </patternFill>
      </fill>
    </dxf>
    <dxf>
      <fill>
        <patternFill>
          <bgColor theme="0"/>
        </patternFill>
      </fill>
    </dxf>
    <dxf>
      <fill>
        <patternFill>
          <bgColor theme="6" tint="0.39994506668294322"/>
        </patternFill>
      </fill>
    </dxf>
    <dxf>
      <fill>
        <patternFill>
          <bgColor theme="5" tint="0.39994506668294322"/>
        </patternFill>
      </fill>
    </dxf>
    <dxf>
      <fill>
        <patternFill>
          <bgColor theme="0"/>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0"/>
        </patternFill>
      </fill>
    </dxf>
    <dxf>
      <font>
        <color theme="0"/>
      </font>
    </dxf>
    <dxf>
      <font>
        <b val="0"/>
        <i val="0"/>
        <color theme="0"/>
      </font>
    </dxf>
    <dxf>
      <fill>
        <patternFill>
          <bgColor rgb="FF9BBB59"/>
        </patternFill>
      </fill>
    </dxf>
    <dxf>
      <fill>
        <patternFill>
          <bgColor rgb="FFC00000"/>
        </patternFill>
      </fill>
    </dxf>
    <dxf>
      <fill>
        <patternFill>
          <bgColor rgb="FF9BBB59"/>
        </patternFill>
      </fill>
    </dxf>
    <dxf>
      <fill>
        <patternFill>
          <bgColor rgb="FFC00000"/>
        </patternFill>
      </fill>
    </dxf>
    <dxf>
      <fill>
        <patternFill>
          <bgColor rgb="FFFFC7CE"/>
        </patternFill>
      </fill>
    </dxf>
    <dxf>
      <fill>
        <patternFill>
          <bgColor rgb="FFFFC7CE"/>
        </patternFill>
      </fill>
    </dxf>
    <dxf>
      <fill>
        <patternFill>
          <bgColor rgb="FF9BBB59"/>
        </patternFill>
      </fill>
    </dxf>
    <dxf>
      <fill>
        <patternFill>
          <bgColor rgb="FFC00000"/>
        </patternFill>
      </fill>
    </dxf>
    <dxf>
      <fill>
        <patternFill>
          <bgColor rgb="FF9BBB59"/>
        </patternFill>
      </fill>
    </dxf>
    <dxf>
      <fill>
        <patternFill>
          <bgColor rgb="FFC00000"/>
        </patternFill>
      </fill>
    </dxf>
    <dxf>
      <fill>
        <patternFill>
          <bgColor rgb="FF9BBB59"/>
        </patternFill>
      </fill>
    </dxf>
    <dxf>
      <fill>
        <patternFill>
          <bgColor rgb="FFC00000"/>
        </patternFill>
      </fill>
    </dxf>
    <dxf>
      <fill>
        <patternFill>
          <bgColor rgb="FFFFC7CE"/>
        </patternFill>
      </fill>
    </dxf>
    <dxf>
      <fill>
        <patternFill>
          <bgColor rgb="FFFFC7CE"/>
        </patternFill>
      </fill>
    </dxf>
    <dxf>
      <fill>
        <patternFill>
          <bgColor rgb="FF9BBB59"/>
        </patternFill>
      </fill>
    </dxf>
    <dxf>
      <fill>
        <patternFill>
          <bgColor rgb="FFC00000"/>
        </patternFill>
      </fill>
    </dxf>
    <dxf>
      <fill>
        <patternFill>
          <bgColor rgb="FF9BBB59"/>
        </patternFill>
      </fill>
    </dxf>
    <dxf>
      <fill>
        <patternFill>
          <bgColor rgb="FFC00000"/>
        </patternFill>
      </fill>
    </dxf>
    <dxf>
      <fill>
        <patternFill>
          <bgColor rgb="FF9BBB59"/>
        </patternFill>
      </fill>
    </dxf>
    <dxf>
      <fill>
        <patternFill>
          <bgColor rgb="FFC00000"/>
        </patternFill>
      </fill>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 #,##0_);_(* \(#,##0\);_(* &quot;-&quot;??_);_(@_)"/>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 #,##0_);_(* \(#,##0\);_(* &quot;-&quot;??_);_(@_)"/>
      <border diagonalUp="0" diagonalDown="0">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medium">
          <color indexed="64"/>
        </left>
        <right style="medium">
          <color indexed="64"/>
        </right>
        <top style="thin">
          <color indexed="64"/>
        </top>
        <bottom style="medium">
          <color indexed="64"/>
        </bottom>
      </border>
    </dxf>
    <dxf>
      <font>
        <b val="0"/>
        <i val="0"/>
        <strike val="0"/>
        <condense val="0"/>
        <extend val="0"/>
        <outline val="0"/>
        <shadow val="0"/>
        <u val="none"/>
        <vertAlign val="baseline"/>
        <sz val="11"/>
        <color theme="1"/>
        <name val="Calibri"/>
        <family val="2"/>
        <scheme val="minor"/>
      </font>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7" tint="-0.499984740745262"/>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medium">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medium">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medium">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medium">
          <color indexed="64"/>
        </left>
        <right style="thin">
          <color indexed="64"/>
        </right>
        <top style="thin">
          <color indexed="64"/>
        </top>
        <bottom style="thin">
          <color indexed="64"/>
        </bottom>
        <vertical/>
        <horizontal style="thin">
          <color indexed="64"/>
        </horizontal>
      </border>
    </dxf>
    <dxf>
      <alignment horizontal="general" vertical="bottom"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medium">
          <color indexed="64"/>
        </left>
        <right style="medium">
          <color indexed="64"/>
        </right>
        <top style="thin">
          <color indexed="64"/>
        </top>
        <bottom style="medium">
          <color indexed="64"/>
        </bottom>
      </border>
    </dxf>
    <dxf>
      <font>
        <b val="0"/>
        <i val="0"/>
        <strike val="0"/>
        <condense val="0"/>
        <extend val="0"/>
        <outline val="0"/>
        <shadow val="0"/>
        <u val="none"/>
        <vertAlign val="baseline"/>
        <sz val="11"/>
        <color theme="1"/>
        <name val="Calibri"/>
        <family val="2"/>
        <scheme val="minor"/>
      </font>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9" tint="-0.249977111117893"/>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medium">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medium">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medium">
          <color indexed="64"/>
        </left>
        <right style="medium">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medium">
          <color indexed="64"/>
        </left>
        <right style="thin">
          <color indexed="64"/>
        </right>
        <top style="thin">
          <color indexed="64"/>
        </top>
        <bottom style="thin">
          <color indexed="64"/>
        </bottom>
        <vertical/>
        <horizontal style="thin">
          <color indexed="64"/>
        </horizontal>
      </border>
    </dxf>
    <dxf>
      <alignment horizontal="general" vertical="bottom"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medium">
          <color indexed="64"/>
        </left>
        <right style="medium">
          <color indexed="64"/>
        </right>
        <top style="thin">
          <color indexed="64"/>
        </top>
        <bottom style="medium">
          <color indexed="64"/>
        </bottom>
      </border>
    </dxf>
    <dxf>
      <font>
        <b val="0"/>
        <i val="0"/>
        <strike val="0"/>
        <condense val="0"/>
        <extend val="0"/>
        <outline val="0"/>
        <shadow val="0"/>
        <u val="none"/>
        <vertAlign val="baseline"/>
        <sz val="11"/>
        <color theme="1"/>
        <name val="Calibri"/>
        <family val="2"/>
        <scheme val="minor"/>
      </font>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7"/>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medium">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numFmt numFmtId="165" formatCode="_(* #,##0_);_(* \(#,##0\);_(* &quot;-&quot;??_);_(@_)"/>
      <border diagonalUp="0" diagonalDown="0">
        <left style="medium">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medium">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numFmt numFmtId="165" formatCode="_(* #,##0_);_(* \(#,##0\);_(* &quot;-&quot;??_);_(@_)"/>
      <border diagonalUp="0" diagonalDown="0">
        <left style="medium">
          <color indexed="64"/>
        </left>
        <right style="thin">
          <color indexed="64"/>
        </right>
        <top style="thin">
          <color indexed="64"/>
        </top>
        <bottom style="thin">
          <color indexed="64"/>
        </bottom>
        <vertical/>
        <horizontal style="thin">
          <color indexed="64"/>
        </horizontal>
      </border>
    </dxf>
    <dxf>
      <alignment horizontal="general" vertical="bottom"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medium">
          <color indexed="64"/>
        </left>
        <right style="medium">
          <color indexed="64"/>
        </right>
        <top style="thin">
          <color indexed="64"/>
        </top>
        <bottom style="medium">
          <color indexed="64"/>
        </bottom>
      </border>
    </dxf>
    <dxf>
      <font>
        <b val="0"/>
        <i val="0"/>
        <strike val="0"/>
        <condense val="0"/>
        <extend val="0"/>
        <outline val="0"/>
        <shadow val="0"/>
        <u val="none"/>
        <vertAlign val="baseline"/>
        <sz val="11"/>
        <color theme="1"/>
        <name val="Calibri"/>
        <family val="2"/>
        <scheme val="minor"/>
      </font>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7" tint="-0.249977111117893"/>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medium">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medium">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numFmt numFmtId="165" formatCode="_(* #,##0_);_(* \(#,##0\);_(* &quot;-&quot;??_);_(@_)"/>
      <border diagonalUp="0" diagonalDown="0">
        <left style="medium">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medium">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numFmt numFmtId="165" formatCode="_(* #,##0_);_(* \(#,##0\);_(* &quot;-&quot;??_);_(@_)"/>
      <border diagonalUp="0" diagonalDown="0">
        <left style="medium">
          <color indexed="64"/>
        </left>
        <right style="thin">
          <color indexed="64"/>
        </right>
        <top style="thin">
          <color indexed="64"/>
        </top>
        <bottom style="thin">
          <color indexed="64"/>
        </bottom>
        <vertical/>
        <horizontal style="thin">
          <color indexed="64"/>
        </horizontal>
      </border>
    </dxf>
    <dxf>
      <alignment horizontal="general" vertical="bottom"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medium">
          <color indexed="64"/>
        </left>
        <right style="medium">
          <color indexed="64"/>
        </right>
        <top style="thin">
          <color indexed="64"/>
        </top>
        <bottom style="medium">
          <color indexed="64"/>
        </bottom>
      </border>
    </dxf>
    <dxf>
      <font>
        <b val="0"/>
        <i val="0"/>
        <strike val="0"/>
        <condense val="0"/>
        <extend val="0"/>
        <outline val="0"/>
        <shadow val="0"/>
        <u val="none"/>
        <vertAlign val="baseline"/>
        <sz val="11"/>
        <color theme="1"/>
        <name val="Calibri"/>
        <family val="2"/>
        <scheme val="minor"/>
      </font>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6"/>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medium">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numFmt numFmtId="165" formatCode="_(* #,##0_);_(* \(#,##0\);_(* &quot;-&quot;??_);_(@_)"/>
      <border diagonalUp="0" diagonalDown="0">
        <left style="medium">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medium">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numFmt numFmtId="165" formatCode="_(* #,##0_);_(* \(#,##0\);_(* &quot;-&quot;??_);_(@_)"/>
      <border diagonalUp="0" diagonalDown="0">
        <left style="medium">
          <color indexed="64"/>
        </left>
        <right style="thin">
          <color indexed="64"/>
        </right>
        <top style="thin">
          <color indexed="64"/>
        </top>
        <bottom style="thin">
          <color indexed="64"/>
        </bottom>
        <vertical/>
        <horizontal style="thin">
          <color indexed="64"/>
        </horizontal>
      </border>
    </dxf>
    <dxf>
      <alignment horizontal="general" vertical="bottom"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medium">
          <color indexed="64"/>
        </left>
        <right style="medium">
          <color indexed="64"/>
        </right>
        <top style="thin">
          <color indexed="64"/>
        </top>
        <bottom style="medium">
          <color indexed="64"/>
        </bottom>
      </border>
    </dxf>
    <dxf>
      <font>
        <b val="0"/>
        <i val="0"/>
        <strike val="0"/>
        <condense val="0"/>
        <extend val="0"/>
        <outline val="0"/>
        <shadow val="0"/>
        <u val="none"/>
        <vertAlign val="baseline"/>
        <sz val="11"/>
        <color theme="1"/>
        <name val="Calibri"/>
        <family val="2"/>
        <scheme val="minor"/>
      </font>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6" tint="-0.249977111117893"/>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 #,##0_);_(* \(#,##0\);_(* &quot;-&quot;??_);_(@_)"/>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 #,##0_);_(* \(#,##0\);_(* &quot;-&quot;??_);_(@_)"/>
      <border diagonalUp="0" diagonalDown="0">
        <left style="medium">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medium">
          <color indexed="64"/>
        </left>
        <top style="thin">
          <color indexed="64"/>
        </top>
        <bottom style="medium">
          <color indexed="64"/>
        </bottom>
      </border>
    </dxf>
    <dxf>
      <font>
        <b val="0"/>
        <i val="0"/>
        <strike val="0"/>
        <condense val="0"/>
        <extend val="0"/>
        <outline val="0"/>
        <shadow val="0"/>
        <u val="none"/>
        <vertAlign val="baseline"/>
        <sz val="11"/>
        <color theme="1"/>
        <name val="Calibri"/>
        <family val="2"/>
        <scheme val="minor"/>
      </font>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6" tint="-0.499984740745262"/>
        </patternFill>
      </fill>
      <alignment horizontal="general"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 #,##0_);_(* \(#,##0\);_(* &quot;-&quot;??_);_(@_)"/>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 #,##0_);_(* \(#,##0\);_(* &quot;-&quot;??_);_(@_)"/>
      <border diagonalUp="0" diagonalDown="0">
        <left style="medium">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medium">
          <color indexed="64"/>
        </left>
        <bottom style="medium">
          <color indexed="64"/>
        </bottom>
      </border>
    </dxf>
    <dxf>
      <font>
        <b val="0"/>
        <i val="0"/>
        <strike val="0"/>
        <condense val="0"/>
        <extend val="0"/>
        <outline val="0"/>
        <shadow val="0"/>
        <u val="none"/>
        <vertAlign val="baseline"/>
        <sz val="11"/>
        <color theme="1"/>
        <name val="Calibri"/>
        <family val="2"/>
        <scheme val="minor"/>
      </font>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8"/>
        </patternFill>
      </fill>
      <alignment horizontal="general"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 #,##0_);_(* \(#,##0\);_(* &quot;-&quot;??_);_(@_)"/>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5" formatCode="_(* #,##0_);_(* \(#,##0\);_(* &quot;-&quot;??_);_(@_)"/>
      <border diagonalUp="0" diagonalDown="0">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medium">
          <color indexed="64"/>
        </left>
        <right style="medium">
          <color indexed="64"/>
        </right>
        <top style="thin">
          <color indexed="64"/>
        </top>
        <bottom style="medium">
          <color indexed="64"/>
        </bottom>
      </border>
    </dxf>
    <dxf>
      <font>
        <b val="0"/>
        <i val="0"/>
        <strike val="0"/>
        <condense val="0"/>
        <extend val="0"/>
        <outline val="0"/>
        <shadow val="0"/>
        <u val="none"/>
        <vertAlign val="baseline"/>
        <sz val="11"/>
        <color theme="1"/>
        <name val="Calibri"/>
        <family val="2"/>
        <scheme val="minor"/>
      </font>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 #,##0_);_(* \(#,##0\);_(* &quot;-&quot;??_);_(@_)"/>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5" formatCode="_(* #,##0_);_(* \(#,##0\);_(* &quot;-&quot;??_);_(@_)"/>
      <border diagonalUp="0" diagonalDown="0">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medium">
          <color indexed="64"/>
        </left>
        <right style="medium">
          <color indexed="64"/>
        </right>
        <top style="thin">
          <color indexed="64"/>
        </top>
        <bottom style="medium">
          <color indexed="64"/>
        </bottom>
      </border>
    </dxf>
    <dxf>
      <font>
        <b val="0"/>
        <i val="0"/>
        <strike val="0"/>
        <condense val="0"/>
        <extend val="0"/>
        <outline val="0"/>
        <shadow val="0"/>
        <u val="none"/>
        <vertAlign val="baseline"/>
        <sz val="11"/>
        <color theme="1"/>
        <name val="Calibri"/>
        <family val="2"/>
        <scheme val="minor"/>
      </font>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3"/>
        </patternFill>
      </fill>
      <alignment horizontal="general" vertical="bottom" textRotation="0" wrapText="1" indent="0" justifyLastLine="0" shrinkToFit="0" readingOrder="0"/>
    </dxf>
    <dxf>
      <numFmt numFmtId="14" formatCode="0.00%"/>
      <fill>
        <patternFill patternType="none">
          <fgColor indexed="64"/>
          <bgColor auto="1"/>
        </patternFill>
      </fill>
      <border diagonalUp="0" diagonalDown="0">
        <left style="thin">
          <color indexed="64"/>
        </left>
        <right/>
        <top style="thin">
          <color indexed="64"/>
        </top>
        <bottom style="thin">
          <color indexed="64"/>
        </bottom>
      </border>
    </dxf>
    <dxf>
      <font>
        <b/>
        <color theme="0"/>
      </font>
      <fill>
        <patternFill patternType="solid">
          <fgColor indexed="64"/>
          <bgColor theme="1" tint="0.499984740745262"/>
        </patternFill>
      </fill>
      <border diagonalUp="0" diagonalDown="0">
        <left style="thin">
          <color indexed="64"/>
        </left>
        <right style="thin">
          <color indexed="64"/>
        </right>
        <top style="thin">
          <color indexed="64"/>
        </top>
        <bottom style="thin">
          <color indexed="64"/>
        </bottom>
        <vertical/>
        <horizontal/>
      </border>
    </dxf>
    <dxf>
      <font>
        <b/>
        <color theme="0"/>
      </font>
      <fill>
        <patternFill patternType="solid">
          <fgColor indexed="64"/>
          <bgColor theme="1" tint="0.499984740745262"/>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auto="1"/>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7" tint="-0.249977111117893"/>
        </patternFill>
      </fill>
      <alignment horizontal="center" vertical="bottom" textRotation="0" wrapText="0" indent="0" justifyLastLine="0" shrinkToFit="0" readingOrder="0"/>
      <border diagonalUp="0" diagonalDown="0" outline="0">
        <left style="thin">
          <color indexed="64"/>
        </left>
        <right style="thin">
          <color indexed="64"/>
        </right>
        <top/>
        <bottom/>
      </border>
    </dxf>
    <dxf>
      <numFmt numFmtId="14" formatCode="0.00%"/>
      <fill>
        <patternFill patternType="none">
          <fgColor indexed="64"/>
          <bgColor auto="1"/>
        </patternFill>
      </fill>
      <border diagonalUp="0" diagonalDown="0">
        <left style="thin">
          <color indexed="64"/>
        </left>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6" tint="-0.499984740745262"/>
        </patternFill>
      </fill>
      <alignment horizontal="center" vertical="bottom" textRotation="0" wrapText="0" indent="0" justifyLastLine="0" shrinkToFit="0" readingOrder="0"/>
      <border diagonalUp="0" diagonalDown="0" outline="0">
        <left style="thin">
          <color indexed="64"/>
        </left>
        <right style="thin">
          <color indexed="64"/>
        </right>
        <top/>
        <bottom/>
      </border>
    </dxf>
    <dxf>
      <numFmt numFmtId="14" formatCode="0.00%"/>
      <border diagonalUp="0" diagonalDown="0">
        <left style="thin">
          <color indexed="64"/>
        </left>
        <right/>
        <top style="thin">
          <color indexed="64"/>
        </top>
        <bottom style="thin">
          <color indexed="64"/>
        </bottom>
      </border>
    </dxf>
    <dxf>
      <numFmt numFmtId="34" formatCode="_(&quot;$&quot;* #,##0.00_);_(&quot;$&quot;* \(#,##0.00\);_(&quot;$&quot;* &quot;-&quot;??_);_(@_)"/>
      <border diagonalUp="0" diagonalDown="0">
        <left style="thin">
          <color indexed="64"/>
        </left>
        <right style="thin">
          <color indexed="64"/>
        </right>
        <top style="thin">
          <color indexed="64"/>
        </top>
        <bottom style="thin">
          <color indexed="64"/>
        </bottom>
      </border>
    </dxf>
    <dxf>
      <numFmt numFmtId="34" formatCode="_(&quot;$&quot;* #,##0.00_);_(&quot;$&quot;* \(#,##0.00\);_(&quot;$&quot;* &quot;-&quot;??_);_(@_)"/>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bottom" textRotation="0" wrapText="0" indent="0" justifyLastLine="0" shrinkToFit="0" readingOrder="0"/>
      <border diagonalUp="0" diagonalDown="0" outline="0">
        <left style="thin">
          <color indexed="64"/>
        </left>
        <right style="thin">
          <color indexed="64"/>
        </right>
        <top/>
        <bottom/>
      </border>
    </dxf>
    <dxf>
      <numFmt numFmtId="14" formatCode="0.00%"/>
      <border diagonalUp="0" diagonalDown="0" outline="0">
        <left style="thin">
          <color indexed="64"/>
        </left>
        <right/>
        <top style="thin">
          <color indexed="64"/>
        </top>
        <bottom style="thin">
          <color indexed="64"/>
        </bottom>
      </border>
    </dxf>
    <dxf>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border outline="0">
        <right style="thin">
          <color indexed="64"/>
        </right>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bottom" textRotation="0" wrapText="0" indent="0" justifyLastLine="0" shrinkToFit="0" readingOrder="0"/>
      <border diagonalUp="0" diagonalDown="0" outline="0">
        <left style="thin">
          <color indexed="64"/>
        </left>
        <right style="thin">
          <color indexed="64"/>
        </right>
        <top/>
        <bottom/>
      </border>
    </dxf>
    <dxf>
      <numFmt numFmtId="14" formatCode="0.00%"/>
      <border diagonalUp="0" diagonalDown="0">
        <left style="thin">
          <color indexed="64"/>
        </left>
        <right/>
        <top style="thin">
          <color indexed="64"/>
        </top>
        <bottom style="thin">
          <color indexed="64"/>
        </bottom>
      </border>
    </dxf>
    <dxf>
      <numFmt numFmtId="34" formatCode="_(&quot;$&quot;* #,##0.00_);_(&quot;$&quot;* \(#,##0.00\);_(&quot;$&quot;* &quot;-&quot;??_);_(@_)"/>
      <border diagonalUp="0" diagonalDown="0">
        <left style="thin">
          <color indexed="64"/>
        </left>
        <right style="thin">
          <color indexed="64"/>
        </right>
        <top style="thin">
          <color indexed="64"/>
        </top>
        <bottom style="thin">
          <color indexed="64"/>
        </bottom>
      </border>
    </dxf>
    <dxf>
      <numFmt numFmtId="34" formatCode="_(&quot;$&quot;* #,##0.00_);_(&quot;$&quot;* \(#,##0.00\);_(&quot;$&quot;* &quot;-&quot;??_);_(@_)"/>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bottom" textRotation="0" wrapText="0" indent="0" justifyLastLine="0" shrinkToFit="0" readingOrder="0"/>
      <border diagonalUp="0" diagonalDown="0" outline="0">
        <left style="thin">
          <color indexed="64"/>
        </left>
        <right style="thin">
          <color indexed="64"/>
        </right>
        <top/>
        <bottom/>
      </border>
    </dxf>
    <dxf>
      <numFmt numFmtId="14" formatCode="0.00%"/>
      <fill>
        <patternFill patternType="none">
          <fgColor indexed="64"/>
          <bgColor auto="1"/>
        </patternFill>
      </fill>
      <border diagonalUp="0" diagonalDown="0">
        <left style="thin">
          <color indexed="64"/>
        </left>
        <right/>
        <top style="thin">
          <color indexed="64"/>
        </top>
        <bottom style="thin">
          <color indexed="64"/>
        </bottom>
      </border>
    </dxf>
    <dxf>
      <font>
        <b/>
        <color theme="0"/>
      </font>
      <fill>
        <patternFill patternType="solid">
          <fgColor indexed="64"/>
          <bgColor theme="1" tint="0.499984740745262"/>
        </patternFill>
      </fill>
      <border diagonalUp="0" diagonalDown="0">
        <left style="thin">
          <color indexed="64"/>
        </left>
        <right style="thin">
          <color indexed="64"/>
        </right>
        <top style="thin">
          <color indexed="64"/>
        </top>
        <bottom style="thin">
          <color indexed="64"/>
        </bottom>
        <vertical/>
        <horizontal/>
      </border>
    </dxf>
    <dxf>
      <font>
        <b/>
        <color theme="0"/>
      </font>
      <fill>
        <patternFill patternType="solid">
          <fgColor indexed="64"/>
          <bgColor theme="1" tint="0.499984740745262"/>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auto="1"/>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9" tint="-0.249977111117893"/>
        </patternFill>
      </fill>
      <alignment horizontal="center" vertical="bottom" textRotation="0" wrapText="0" indent="0" justifyLastLine="0" shrinkToFit="0" readingOrder="0"/>
      <border diagonalUp="0" diagonalDown="0" outline="0">
        <left style="thin">
          <color indexed="64"/>
        </left>
        <right style="thin">
          <color indexed="64"/>
        </right>
        <top/>
        <bottom/>
      </border>
    </dxf>
    <dxf>
      <numFmt numFmtId="14" formatCode="0.00%"/>
      <fill>
        <patternFill patternType="none">
          <fgColor indexed="64"/>
          <bgColor auto="1"/>
        </patternFill>
      </fill>
      <border diagonalUp="0" diagonalDown="0">
        <left style="thin">
          <color indexed="64"/>
        </left>
        <right/>
        <top style="thin">
          <color indexed="64"/>
        </top>
        <bottom style="thin">
          <color indexed="64"/>
        </bottom>
      </border>
    </dxf>
    <dxf>
      <font>
        <b/>
        <color theme="0"/>
      </font>
      <fill>
        <patternFill patternType="solid">
          <fgColor indexed="64"/>
          <bgColor theme="1" tint="0.499984740745262"/>
        </patternFill>
      </fill>
      <border diagonalUp="0" diagonalDown="0">
        <left style="thin">
          <color indexed="64"/>
        </left>
        <right style="thin">
          <color indexed="64"/>
        </right>
        <top style="thin">
          <color indexed="64"/>
        </top>
        <bottom style="thin">
          <color indexed="64"/>
        </bottom>
        <vertical/>
        <horizontal/>
      </border>
    </dxf>
    <dxf>
      <font>
        <b/>
        <color theme="0"/>
      </font>
      <fill>
        <patternFill patternType="solid">
          <fgColor indexed="64"/>
          <bgColor theme="1" tint="0.499984740745262"/>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auto="1"/>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7"/>
        </patternFill>
      </fill>
      <alignment horizontal="center" vertical="bottom" textRotation="0" wrapText="0" indent="0" justifyLastLine="0" shrinkToFit="0" readingOrder="0"/>
      <border diagonalUp="0" diagonalDown="0" outline="0">
        <left style="thin">
          <color indexed="64"/>
        </left>
        <right style="thin">
          <color indexed="64"/>
        </right>
        <top/>
        <bottom/>
      </border>
    </dxf>
    <dxf>
      <numFmt numFmtId="14" formatCode="0.00%"/>
      <fill>
        <patternFill patternType="none">
          <fgColor indexed="64"/>
          <bgColor auto="1"/>
        </patternFill>
      </fill>
      <border diagonalUp="0" diagonalDown="0">
        <left style="thin">
          <color indexed="64"/>
        </left>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7" tint="-0.499984740745262"/>
        </patternFill>
      </fill>
      <alignment horizontal="center" vertical="bottom" textRotation="0" wrapText="0" indent="0" justifyLastLine="0" shrinkToFit="0" readingOrder="0"/>
      <border diagonalUp="0" diagonalDown="0" outline="0">
        <left style="thin">
          <color indexed="64"/>
        </left>
        <right style="thin">
          <color indexed="64"/>
        </right>
        <top/>
        <bottom/>
      </border>
    </dxf>
    <dxf>
      <numFmt numFmtId="14" formatCode="0.00%"/>
      <fill>
        <patternFill patternType="none">
          <fgColor indexed="64"/>
          <bgColor auto="1"/>
        </patternFill>
      </fill>
      <border diagonalUp="0" diagonalDown="0">
        <left style="thin">
          <color indexed="64"/>
        </left>
        <right/>
        <top style="thin">
          <color indexed="64"/>
        </top>
        <bottom style="thin">
          <color indexed="64"/>
        </bottom>
      </border>
    </dxf>
    <dxf>
      <font>
        <b/>
        <color theme="0"/>
      </font>
      <fill>
        <patternFill patternType="solid">
          <fgColor indexed="64"/>
          <bgColor theme="1" tint="0.499984740745262"/>
        </patternFill>
      </fill>
      <border diagonalUp="0" diagonalDown="0">
        <left style="thin">
          <color indexed="64"/>
        </left>
        <right style="thin">
          <color indexed="64"/>
        </right>
        <top style="thin">
          <color indexed="64"/>
        </top>
        <bottom style="thin">
          <color indexed="64"/>
        </bottom>
        <vertical/>
        <horizontal/>
      </border>
    </dxf>
    <dxf>
      <font>
        <b/>
        <color theme="0"/>
      </font>
      <fill>
        <patternFill patternType="solid">
          <fgColor indexed="64"/>
          <bgColor theme="1" tint="0.499984740745262"/>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auto="1"/>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6"/>
        </patternFill>
      </fill>
      <alignment horizontal="center" vertical="bottom" textRotation="0" wrapText="0" indent="0" justifyLastLine="0" shrinkToFit="0" readingOrder="0"/>
      <border diagonalUp="0" diagonalDown="0" outline="0">
        <left style="thin">
          <color indexed="64"/>
        </left>
        <right style="thin">
          <color indexed="64"/>
        </right>
        <top/>
        <bottom/>
      </border>
    </dxf>
    <dxf>
      <numFmt numFmtId="14" formatCode="0.00%"/>
      <fill>
        <patternFill patternType="solid">
          <fgColor indexed="64"/>
          <bgColor theme="0" tint="-4.9989318521683403E-2"/>
        </patternFill>
      </fill>
      <border diagonalUp="0" diagonalDown="0">
        <left style="thin">
          <color indexed="64"/>
        </left>
        <right/>
        <top style="thin">
          <color indexed="64"/>
        </top>
        <bottom style="thin">
          <color indexed="64"/>
        </bottom>
        <vertical/>
        <horizontal/>
      </border>
    </dxf>
    <dxf>
      <font>
        <b/>
        <color theme="0"/>
      </font>
      <fill>
        <patternFill patternType="solid">
          <fgColor indexed="64"/>
          <bgColor theme="1" tint="0.499984740745262"/>
        </patternFill>
      </fill>
      <border diagonalUp="0" diagonalDown="0">
        <left style="thin">
          <color indexed="64"/>
        </left>
        <right style="thin">
          <color indexed="64"/>
        </right>
        <top style="thin">
          <color indexed="64"/>
        </top>
        <bottom style="thin">
          <color indexed="64"/>
        </bottom>
        <vertical/>
        <horizontal/>
      </border>
    </dxf>
    <dxf>
      <font>
        <b/>
        <color theme="0"/>
      </font>
      <fill>
        <patternFill patternType="solid">
          <fgColor indexed="64"/>
          <bgColor theme="1" tint="0.49998474074526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tint="-4.9989318521683403E-2"/>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6" tint="-0.249977111117893"/>
        </patternFill>
      </fill>
      <alignment horizontal="center" vertical="bottom" textRotation="0" wrapText="0" indent="0" justifyLastLine="0" shrinkToFit="0" readingOrder="0"/>
      <border diagonalUp="0" diagonalDown="0" outline="0">
        <left style="thin">
          <color indexed="64"/>
        </left>
        <right style="thin">
          <color indexed="64"/>
        </right>
        <top/>
        <bottom/>
      </border>
    </dxf>
    <dxf>
      <numFmt numFmtId="14" formatCode="0.00%"/>
      <fill>
        <patternFill patternType="none">
          <fgColor indexed="64"/>
          <bgColor auto="1"/>
        </patternFill>
      </fill>
      <border diagonalUp="0" diagonalDown="0">
        <left style="thin">
          <color indexed="64"/>
        </left>
        <right/>
        <top style="thin">
          <color indexed="64"/>
        </top>
        <bottom style="thin">
          <color indexed="64"/>
        </bottom>
      </border>
    </dxf>
    <dxf>
      <font>
        <b/>
        <color theme="0"/>
      </font>
      <fill>
        <patternFill patternType="solid">
          <fgColor indexed="64"/>
          <bgColor theme="1" tint="0.499984740745262"/>
        </patternFill>
      </fill>
      <border diagonalUp="0" diagonalDown="0">
        <left style="thin">
          <color indexed="64"/>
        </left>
        <right style="thin">
          <color indexed="64"/>
        </right>
        <top style="thin">
          <color indexed="64"/>
        </top>
        <bottom style="thin">
          <color indexed="64"/>
        </bottom>
        <vertical/>
        <horizontal/>
      </border>
    </dxf>
    <dxf>
      <font>
        <b/>
        <color theme="0"/>
      </font>
      <fill>
        <patternFill patternType="solid">
          <fgColor indexed="64"/>
          <bgColor theme="1" tint="0.499984740745262"/>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auto="1"/>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8"/>
        </patternFill>
      </fill>
      <alignment horizontal="center" vertical="bottom" textRotation="0" wrapText="0" indent="0" justifyLastLine="0" shrinkToFit="0" readingOrder="0"/>
      <border diagonalUp="0" diagonalDown="0" outline="0">
        <left style="thin">
          <color indexed="64"/>
        </left>
        <right style="thin">
          <color indexed="64"/>
        </right>
        <top/>
        <bottom/>
      </border>
    </dxf>
    <dxf>
      <numFmt numFmtId="14" formatCode="0.00%"/>
      <fill>
        <patternFill patternType="solid">
          <fgColor indexed="64"/>
          <bgColor theme="0" tint="-4.9989318521683403E-2"/>
        </patternFill>
      </fill>
      <border diagonalUp="0" diagonalDown="0">
        <left style="thin">
          <color indexed="64"/>
        </left>
        <right/>
        <top style="thin">
          <color indexed="64"/>
        </top>
        <bottom style="thin">
          <color indexed="64"/>
        </bottom>
        <vertical/>
        <horizontal/>
      </border>
    </dxf>
    <dxf>
      <font>
        <b/>
        <color theme="0"/>
      </font>
      <fill>
        <patternFill patternType="solid">
          <fgColor indexed="64"/>
          <bgColor theme="1" tint="0.49998474074526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tint="-4.9989318521683403E-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tint="-4.9989318521683403E-2"/>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bottom" textRotation="0" wrapText="0" indent="0" justifyLastLine="0" shrinkToFit="0" readingOrder="0"/>
      <border diagonalUp="0" diagonalDown="0" outline="0">
        <left style="thin">
          <color indexed="64"/>
        </left>
        <right style="thin">
          <color indexed="64"/>
        </right>
        <top/>
        <bottom/>
      </border>
    </dxf>
    <dxf>
      <numFmt numFmtId="14" formatCode="0.00%"/>
      <fill>
        <patternFill patternType="none">
          <fgColor indexed="64"/>
          <bgColor auto="1"/>
        </patternFill>
      </fill>
      <border diagonalUp="0" diagonalDown="0">
        <left style="thin">
          <color indexed="64"/>
        </left>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numFmt numFmtId="34" formatCode="_(&quot;$&quot;* #,##0.00_);_(&quot;$&quot;* \(#,##0.00\);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3"/>
        </patternFill>
      </fill>
      <alignment horizontal="center" vertical="bottom" textRotation="0" wrapText="0" indent="0" justifyLastLine="0" shrinkToFit="0" readingOrder="0"/>
      <border diagonalUp="0" diagonalDown="0" outline="0">
        <left style="thin">
          <color indexed="64"/>
        </left>
        <right style="thin">
          <color indexed="64"/>
        </right>
        <top/>
        <bottom/>
      </border>
    </dxf>
    <dxf>
      <numFmt numFmtId="14" formatCode="0.00%"/>
      <border diagonalUp="0" diagonalDown="0" outline="0">
        <left style="thin">
          <color indexed="64"/>
        </left>
        <right/>
        <top style="thin">
          <color indexed="64"/>
        </top>
        <bottom style="thin">
          <color indexed="64"/>
        </bottom>
      </border>
    </dxf>
    <dxf>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border outline="0">
        <right style="thin">
          <color indexed="64"/>
        </right>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bottom" textRotation="0" wrapText="0" indent="0" justifyLastLine="0" shrinkToFit="0" readingOrder="0"/>
      <border diagonalUp="0" diagonalDown="0" outline="0">
        <left style="thin">
          <color indexed="64"/>
        </left>
        <right style="thin">
          <color indexed="64"/>
        </right>
        <top/>
        <bottom/>
      </border>
    </dxf>
    <dxf>
      <numFmt numFmtId="14" formatCode="0.00%"/>
      <border diagonalUp="0" diagonalDown="0" outline="0">
        <left style="thin">
          <color indexed="64"/>
        </left>
        <right/>
        <top style="thin">
          <color indexed="64"/>
        </top>
        <bottom style="thin">
          <color indexed="64"/>
        </bottom>
      </border>
    </dxf>
    <dxf>
      <numFmt numFmtId="165" formatCode="_(* #,##0_);_(* \(#,##0\);_(*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numFmt numFmtId="165" formatCode="_(* #,##0_);_(* \(#,##0\);_(*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border outline="0">
        <right style="thin">
          <color indexed="64"/>
        </right>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33" formatCode="_(* #,##0_);_(* \(#,##0\);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border diagonalUp="0" diagonalDown="0" outline="0">
        <left style="thin">
          <color indexed="64"/>
        </left>
        <right style="thin">
          <color indexed="64"/>
        </right>
        <top style="thin">
          <color indexed="64"/>
        </top>
        <bottom style="thin">
          <color indexed="64"/>
        </bottom>
      </border>
      <protection locked="0" hidden="0"/>
    </dxf>
    <dxf>
      <border diagonalUp="0" diagonalDown="0" outline="0">
        <left style="thin">
          <color indexed="64"/>
        </left>
        <right style="thin">
          <color indexed="64"/>
        </right>
        <top style="thin">
          <color indexed="64"/>
        </top>
        <bottom style="thin">
          <color indexed="64"/>
        </bottom>
      </border>
      <protection locked="0" hidden="0"/>
    </dxf>
    <dxf>
      <font>
        <color rgb="FF0070C0"/>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protection locked="0" hidden="0"/>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65" formatCode="_(* #,##0_);_(* \(#,##0\);_(*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33" formatCode="_(* #,##0_);_(* \(#,##0\);_(*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border diagonalUp="0" diagonalDown="0" outline="0">
        <left style="thin">
          <color indexed="64"/>
        </left>
        <right style="thin">
          <color indexed="64"/>
        </right>
        <top style="thin">
          <color indexed="64"/>
        </top>
        <bottom style="thin">
          <color indexed="64"/>
        </bottom>
      </border>
      <protection locked="0" hidden="0"/>
    </dxf>
    <dxf>
      <border diagonalUp="0" diagonalDown="0" outline="0">
        <left style="thin">
          <color indexed="64"/>
        </left>
        <right style="thin">
          <color indexed="64"/>
        </right>
        <top style="thin">
          <color indexed="64"/>
        </top>
        <bottom style="thin">
          <color indexed="64"/>
        </bottom>
      </border>
      <protection locked="0" hidden="0"/>
    </dxf>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protection locked="0" hidden="0"/>
    </dxf>
    <dxf>
      <border>
        <bottom style="thin">
          <color rgb="FF000000"/>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i val="0"/>
      </font>
      <border diagonalUp="0" diagonalDown="0">
        <left style="thin">
          <color indexed="64"/>
        </left>
        <right style="thin">
          <color indexed="64"/>
        </right>
        <top style="thin">
          <color indexed="64"/>
        </top>
        <bottom style="thin">
          <color indexed="64"/>
        </bottom>
        <vertical/>
        <horizontal/>
      </border>
      <protection locked="0" hidden="0"/>
    </dxf>
    <dxf>
      <font>
        <i val="0"/>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3" formatCode="#,##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theme="1"/>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i val="0"/>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i val="0"/>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3" formatCode="#,##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i val="0"/>
      </font>
      <protection locked="0" hidden="0"/>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alignment horizontal="center"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outline="0">
        <top style="thin">
          <color indexed="64"/>
        </top>
      </border>
    </dxf>
    <dxf>
      <protection locked="0" hidden="0"/>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theme="1"/>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i/>
        <strike val="0"/>
        <outline val="0"/>
        <shadow val="0"/>
        <u val="none"/>
        <vertAlign val="baseline"/>
        <sz val="11"/>
        <color rgb="FF0070C0"/>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protection locked="0" hidden="0"/>
    </dxf>
    <dxf>
      <numFmt numFmtId="3" formatCode="#,##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i val="0"/>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0" hidden="0"/>
    </dxf>
    <dxf>
      <border outline="0">
        <bottom style="thin">
          <color rgb="FF000000"/>
        </bottom>
      </border>
    </dxf>
    <dxf>
      <font>
        <b/>
        <i val="0"/>
        <strike val="0"/>
        <condense val="0"/>
        <extend val="0"/>
        <outline val="0"/>
        <shadow val="0"/>
        <u val="none"/>
        <vertAlign val="baseline"/>
        <sz val="11"/>
        <color theme="1"/>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i/>
        <strike val="0"/>
        <outline val="0"/>
        <shadow val="0"/>
        <u val="none"/>
        <vertAlign val="baseline"/>
        <sz val="11"/>
        <color rgb="FF0070C0"/>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protection locked="0" hidden="0"/>
    </dxf>
    <dxf>
      <border outline="0">
        <right style="thin">
          <color indexed="64"/>
        </right>
      </border>
      <protection locked="0" hidden="0"/>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i val="0"/>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0" hidden="0"/>
    </dxf>
    <dxf>
      <border outline="0">
        <bottom style="thin">
          <color rgb="FF000000"/>
        </bottom>
      </border>
    </dxf>
    <dxf>
      <font>
        <b/>
        <i val="0"/>
        <strike val="0"/>
        <condense val="0"/>
        <extend val="0"/>
        <outline val="0"/>
        <shadow val="0"/>
        <u val="none"/>
        <vertAlign val="baseline"/>
        <sz val="11"/>
        <color theme="1"/>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1"/>
        <color rgb="FF0070C0"/>
        <name val="Calibri"/>
        <family val="2"/>
        <scheme val="none"/>
      </font>
      <numFmt numFmtId="167" formatCode="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rgb="FF0070C0"/>
        <name val="Calibri"/>
        <family val="2"/>
        <scheme val="none"/>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rgb="FF0070C0"/>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0070C0"/>
        <name val="Calibri"/>
        <family val="2"/>
        <scheme val="minor"/>
      </font>
      <numFmt numFmtId="169" formatCode="&quot;$&quot;#,##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0070C0"/>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0070C0"/>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0070C0"/>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0070C0"/>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70C0"/>
        <name val="Calibri"/>
        <family val="2"/>
        <scheme val="minor"/>
      </font>
      <fill>
        <patternFill patternType="none">
          <fgColor indexed="64"/>
          <bgColor indexed="65"/>
        </patternFill>
      </fill>
      <alignment horizontal="center" vertical="bottom" textRotation="0" wrapText="0" indent="0" justifyLastLine="0" shrinkToFit="0" readingOrder="0"/>
      <protection locked="1" hidden="0"/>
    </dxf>
    <dxf>
      <border>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1"/>
        <color rgb="FF0070C0"/>
        <name val="Calibri"/>
        <family val="2"/>
        <scheme val="none"/>
      </font>
      <numFmt numFmtId="167"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protection locked="1" hidden="0"/>
    </dxf>
    <dxf>
      <font>
        <b val="0"/>
        <i val="0"/>
        <strike val="0"/>
        <condense val="0"/>
        <extend val="0"/>
        <outline val="0"/>
        <shadow val="0"/>
        <u val="none"/>
        <vertAlign val="baseline"/>
        <sz val="11"/>
        <color rgb="FF0070C0"/>
        <name val="Calibri"/>
        <family val="2"/>
        <scheme val="none"/>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protection locked="1" hidden="0"/>
    </dxf>
    <dxf>
      <font>
        <b val="0"/>
        <i val="0"/>
        <strike val="0"/>
        <condense val="0"/>
        <extend val="0"/>
        <outline val="0"/>
        <shadow val="0"/>
        <u val="none"/>
        <vertAlign val="baseline"/>
        <sz val="11"/>
        <color rgb="FF0070C0"/>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0070C0"/>
        <name val="Calibri"/>
        <family val="2"/>
        <scheme val="minor"/>
      </font>
      <numFmt numFmtId="169" formatCode="&quot;$&quot;#,##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0070C0"/>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0070C0"/>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0070C0"/>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0070C0"/>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0070C0"/>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70C0"/>
        <name val="Calibri"/>
        <family val="2"/>
        <scheme val="none"/>
      </font>
      <fill>
        <patternFill patternType="none">
          <fgColor rgb="FF000000"/>
          <bgColor rgb="FFFFFFFF"/>
        </patternFill>
      </fill>
      <alignment horizontal="center" vertical="bottom" textRotation="0" wrapText="0" indent="0" justifyLastLine="0" shrinkToFit="0" readingOrder="0"/>
      <protection locked="1" hidden="0"/>
    </dxf>
    <dxf>
      <border>
        <bottom style="thin">
          <color rgb="FF000000"/>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30" formatCode="@"/>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30" formatCode="@"/>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30" formatCode="@"/>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30" formatCode="@"/>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9" formatCode="m/d/yyyy"/>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9" formatCode="m/d/yyyy"/>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protection locked="0" hidden="0"/>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numFmt numFmtId="30" formatCode="@"/>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numFmt numFmtId="30" formatCode="@"/>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numFmt numFmtId="30" formatCode="@"/>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numFmt numFmtId="30" formatCode="@"/>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numFmt numFmtId="19" formatCode="m/d/yyyy"/>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numFmt numFmtId="19" formatCode="m/d/yyyy"/>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protection locked="0" hidden="0"/>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border diagonalUp="0" diagonalDown="0">
        <left/>
        <right/>
        <top style="thin">
          <color theme="4"/>
        </top>
        <bottom/>
        <vertical/>
        <horizontal/>
      </border>
    </dxf>
    <dxf>
      <border outline="0">
        <left style="thin">
          <color theme="4"/>
        </left>
        <right style="thin">
          <color theme="4"/>
        </right>
        <top style="thin">
          <color theme="4"/>
        </top>
      </border>
    </dxf>
    <dxf>
      <fill>
        <patternFill patternType="none">
          <fgColor indexed="64"/>
          <bgColor indexed="65"/>
        </patternFill>
      </fill>
    </dxf>
    <dxf>
      <numFmt numFmtId="1" formatCode="0"/>
      <alignment horizontal="center" vertical="bottom" textRotation="0" wrapText="0" indent="0" justifyLastLine="0" shrinkToFit="0" readingOrder="0"/>
    </dxf>
    <dxf>
      <border outline="0">
        <top style="thin">
          <color theme="4"/>
        </top>
      </border>
    </dxf>
    <dxf>
      <fill>
        <patternFill patternType="none">
          <fgColor indexed="64"/>
          <bgColor indexed="65"/>
        </patternFill>
      </fill>
      <alignmen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1" formatCode="0"/>
      <alignment horizontal="center" vertical="center" textRotation="0" wrapText="1" indent="0" justifyLastLine="0" shrinkToFit="0" readingOrder="0"/>
      <border diagonalUp="0" diagonalDown="0" outline="0">
        <left/>
        <right/>
        <top style="thin">
          <color theme="4"/>
        </top>
        <bottom/>
      </border>
    </dxf>
    <dxf>
      <border outline="0">
        <left style="thin">
          <color theme="4"/>
        </left>
        <top style="thin">
          <color theme="4"/>
        </top>
        <bottom style="thin">
          <color theme="4"/>
        </bottom>
      </border>
    </dxf>
    <dxf>
      <alignment vertical="center" textRotation="0" wrapText="1" indent="0" justifyLastLine="0" shrinkToFit="0" readingOrder="0"/>
    </dxf>
    <dxf>
      <fill>
        <patternFill patternType="solid">
          <fgColor indexed="64"/>
          <bgColor theme="4"/>
        </patternFill>
      </fill>
      <alignment vertical="center" textRotation="0" indent="0" justifyLastLine="0" shrinkToFit="0" readingOrder="0"/>
    </dxf>
    <dxf>
      <fill>
        <patternFill patternType="none">
          <fgColor indexed="64"/>
          <bgColor indexed="65"/>
        </patternFill>
      </fill>
      <alignmen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1" formatCode="0"/>
      <alignment horizontal="center" vertical="center" textRotation="0" wrapText="1" indent="0" justifyLastLine="0" shrinkToFit="0" readingOrder="0"/>
      <border diagonalUp="0" diagonalDown="0" outline="0">
        <left/>
        <right/>
        <top style="thin">
          <color theme="4"/>
        </top>
        <bottom/>
      </border>
    </dxf>
    <dxf>
      <border outline="0">
        <left style="thin">
          <color theme="4"/>
        </left>
        <top style="thin">
          <color theme="4"/>
        </top>
        <bottom style="thin">
          <color theme="4"/>
        </bottom>
      </border>
    </dxf>
    <dxf>
      <alignment vertical="center" textRotation="0" wrapText="1" indent="0" justifyLastLine="0" shrinkToFit="0" readingOrder="0"/>
    </dxf>
    <dxf>
      <fill>
        <patternFill patternType="solid">
          <fgColor indexed="64"/>
          <bgColor theme="4"/>
        </patternFill>
      </fill>
      <alignment vertical="center" textRotation="0" indent="0" justifyLastLine="0" shrinkToFit="0" readingOrder="0"/>
    </dxf>
    <dxf>
      <alignment horizontal="center" vertical="center" textRotation="0" wrapText="0" indent="0" justifyLastLine="0" shrinkToFit="0" readingOrder="0"/>
    </dxf>
    <dxf>
      <alignment horizontal="center" vertical="center" textRotation="0" wrapText="1" indent="0" justifyLastLine="0" shrinkToFit="0" readingOrder="0"/>
    </dxf>
    <dxf>
      <numFmt numFmtId="1" formatCode="0"/>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solid">
          <fgColor indexed="64"/>
          <bgColor theme="4"/>
        </patternFill>
      </fill>
      <alignment horizontal="center" vertical="bottom" textRotation="0" wrapText="0" indent="0" justifyLastLine="0" shrinkToFit="0" readingOrder="0"/>
    </dxf>
    <dxf>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solid">
          <fgColor indexed="64"/>
          <bgColor theme="4"/>
        </patternFill>
      </fill>
      <alignment horizontal="center" vertical="bottom" textRotation="0" wrapText="0" indent="0" justifyLastLine="0" shrinkToFit="0" readingOrder="0"/>
    </dxf>
    <dxf>
      <alignment horizontal="center" vertical="bottom" textRotation="0" wrapText="1" indent="0" justifyLastLine="0" shrinkToFit="0" readingOrder="0"/>
    </dxf>
    <dxf>
      <numFmt numFmtId="1" formatCode="0"/>
      <alignment horizontal="center" vertical="center" textRotation="0" wrapText="0" indent="0" justifyLastLine="0" shrinkToFit="0" readingOrder="0"/>
    </dxf>
    <dxf>
      <alignment horizontal="center" vertical="bottom" textRotation="0" indent="0" justifyLastLine="0" shrinkToFit="0" readingOrder="0"/>
    </dxf>
    <dxf>
      <fill>
        <patternFill patternType="solid">
          <fgColor indexed="64"/>
          <bgColor theme="4"/>
        </patternFill>
      </fill>
      <alignment horizontal="center" vertical="bottom" textRotation="0" indent="0" justifyLastLine="0" shrinkToFit="0" readingOrder="0"/>
    </dxf>
    <dxf>
      <numFmt numFmtId="1" formatCode="0"/>
      <fill>
        <patternFill patternType="none">
          <fgColor indexed="64"/>
          <bgColor indexed="65"/>
        </patternFill>
      </fill>
      <alignment horizontal="center" vertical="bottom" textRotation="0" wrapText="1" indent="0" justifyLastLine="0" shrinkToFit="0" readingOrder="0"/>
    </dxf>
    <dxf>
      <numFmt numFmtId="1" formatCode="0"/>
      <fill>
        <patternFill patternType="none">
          <fgColor indexed="64"/>
          <bgColor indexed="65"/>
        </patternFill>
      </fill>
      <alignment horizontal="center" vertical="bottom" textRotation="0" wrapText="0" indent="0" justifyLastLine="0" shrinkToFit="0" readingOrder="0"/>
    </dxf>
    <dxf>
      <alignment horizontal="center" vertical="bottom" textRotation="0" indent="0" justifyLastLine="0" shrinkToFit="0" readingOrder="0"/>
    </dxf>
    <dxf>
      <fill>
        <patternFill patternType="solid">
          <fgColor indexed="64"/>
          <bgColor theme="4"/>
        </patternFill>
      </fill>
      <alignment horizontal="center" vertical="bottom" textRotation="0" indent="0" justifyLastLine="0" shrinkToFit="0" readingOrder="0"/>
    </dxf>
    <dxf>
      <numFmt numFmtId="1" formatCode="0"/>
      <alignment horizontal="center" vertical="bottom" textRotation="0" wrapText="1" indent="0" justifyLastLine="0" shrinkToFit="0" readingOrder="0"/>
    </dxf>
    <dxf>
      <numFmt numFmtId="1" formatCode="0"/>
      <alignment horizontal="center" vertical="bottom" textRotation="0" wrapText="0" indent="0" justifyLastLine="0" shrinkToFit="0" readingOrder="0"/>
    </dxf>
    <dxf>
      <alignment horizontal="center" vertical="bottom" textRotation="0"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4"/>
        </patternFill>
      </fill>
      <alignment horizontal="center" vertical="bottom" textRotation="0" indent="0" justifyLastLine="0" shrinkToFit="0" readingOrder="0"/>
    </dxf>
    <dxf>
      <alignment horizontal="center" vertical="center" textRotation="0" wrapText="0" indent="0" justifyLastLine="0" shrinkToFit="0" readingOrder="0"/>
    </dxf>
    <dxf>
      <numFmt numFmtId="166" formatCode="[$-F800]dddd\,\ mmmm\ dd\,\ yyyy"/>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solid">
          <fgColor indexed="64"/>
          <bgColor theme="4"/>
        </patternFill>
      </fill>
      <alignment horizontal="center" vertical="center" textRotation="0" wrapText="0" indent="0" justifyLastLine="0" shrinkToFit="0" readingOrder="0"/>
    </dxf>
    <dxf>
      <numFmt numFmtId="164" formatCode="_(&quot;$&quot;* #,##0_);_(&quot;$&quot;* \(#,##0\);_(&quot;$&quot;* &quot;-&quot;??_);_(@_)"/>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dxf>
    <dxf>
      <numFmt numFmtId="164" formatCode="_(&quot;$&quot;* #,##0_);_(&quot;$&quot;* \(#,##0\);_(&quot;$&quot;* &quot;-&quot;??_);_(@_)"/>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dxf>
    <dxf>
      <numFmt numFmtId="164" formatCode="_(&quot;$&quot;* #,##0_);_(&quot;$&quot;* \(#,##0\);_(&quot;$&quot;* &quot;-&quot;??_);_(@_)"/>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dxf>
    <dxf>
      <numFmt numFmtId="164" formatCode="_(&quot;$&quot;* #,##0_);_(&quot;$&quot;* \(#,##0\);_(&quot;$&quot;* &quot;-&quot;??_);_(@_)"/>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dxf>
    <dxf>
      <numFmt numFmtId="164" formatCode="_(&quot;$&quot;* #,##0_);_(&quot;$&quot;* \(#,##0\);_(&quot;$&quot;* &quot;-&quot;??_);_(@_)"/>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1"/>
        </patternFill>
      </fill>
      <border diagonalUp="0" diagonalDown="0" outline="0">
        <left/>
        <right style="thin">
          <color indexed="64"/>
        </right>
        <top style="thin">
          <color indexed="64"/>
        </top>
        <bottom style="thin">
          <color indexed="64"/>
        </bottom>
      </border>
    </dxf>
    <dxf>
      <fill>
        <patternFill patternType="none">
          <fgColor indexed="64"/>
          <bgColor auto="1"/>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protection locked="1" hidden="1"/>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bottom/>
      </border>
      <protection locked="1" hidden="1"/>
    </dxf>
    <dxf>
      <numFmt numFmtId="33" formatCode="_(* #,##0_);_(* \(#,##0\);_(* &quot;-&quot;_);_(@_)"/>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Calibri"/>
        <family val="2"/>
        <scheme val="minor"/>
      </font>
      <numFmt numFmtId="33" formatCode="_(* #,##0_);_(* \(#,##0\);_(* &quot;-&quot;_);_(@_)"/>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Calibri"/>
        <family val="2"/>
        <scheme val="minor"/>
      </font>
      <numFmt numFmtId="33" formatCode="_(* #,##0_);_(* \(#,##0\);_(* &quot;-&quot;_);_(@_)"/>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Calibri"/>
        <family val="2"/>
        <scheme val="minor"/>
      </font>
      <numFmt numFmtId="33" formatCode="_(* #,##0_);_(* \(#,##0\);_(* &quot;-&quot;_);_(@_)"/>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Calibri"/>
        <family val="2"/>
        <scheme val="minor"/>
      </font>
      <numFmt numFmtId="33" formatCode="_(* #,##0_);_(* \(#,##0\);_(* &quot;-&quot;_);_(@_)"/>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1" hidden="1"/>
    </dxf>
    <dxf>
      <numFmt numFmtId="33" formatCode="_(* #,##0_);_(* \(#,##0\);_(* &quot;-&quot;_);_(@_)"/>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1" hidden="1"/>
    </dxf>
    <dxf>
      <numFmt numFmtId="32" formatCode="_(&quot;$&quot;* #,##0_);_(&quot;$&quot;* \(#,##0\);_(&quot;$&quot;* &quot;-&quot;_);_(@_)"/>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1" hidden="1"/>
    </dxf>
    <dxf>
      <numFmt numFmtId="3" formatCode="#,##0"/>
      <fill>
        <patternFill patternType="solid">
          <fgColor indexed="64"/>
          <bgColor theme="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3" formatCode="#,##0"/>
      <fill>
        <patternFill patternType="solid">
          <fgColor indexed="64"/>
          <bgColor theme="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ill>
        <patternFill patternType="none">
          <fgColor indexed="64"/>
          <bgColor auto="1"/>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bottom/>
      </border>
      <protection locked="1" hidden="1"/>
    </dxf>
    <dxf>
      <fill>
        <patternFill patternType="solid">
          <fgColor indexed="64"/>
          <bgColor theme="1"/>
        </patternFill>
      </fill>
      <border diagonalUp="0" diagonalDown="0" outline="0">
        <left style="thin">
          <color indexed="64"/>
        </left>
        <right/>
        <top style="thin">
          <color indexed="64"/>
        </top>
        <bottom style="thin">
          <color indexed="64"/>
        </bottom>
      </border>
    </dxf>
    <dxf>
      <font>
        <color auto="1"/>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bottom/>
      </border>
      <protection locked="1" hidden="1"/>
    </dxf>
    <dxf>
      <fill>
        <patternFill patternType="solid">
          <fgColor indexed="64"/>
          <bgColor theme="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ill>
        <patternFill patternType="solid">
          <fgColor indexed="64"/>
          <bgColor theme="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ill>
        <patternFill patternType="solid">
          <fgColor indexed="64"/>
          <bgColor theme="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ill>
        <patternFill patternType="solid">
          <fgColor indexed="64"/>
          <bgColor theme="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ill>
        <patternFill patternType="solid">
          <fgColor indexed="64"/>
          <bgColor theme="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ill>
        <patternFill patternType="solid">
          <fgColor indexed="64"/>
          <bgColor theme="1"/>
        </patternFill>
      </fill>
      <alignment horizontal="center" vertical="bottom" textRotation="0" wrapText="0" indent="0" justifyLastLine="0" shrinkToFit="0" readingOrder="0"/>
      <border outline="0">
        <left style="thin">
          <color indexed="64"/>
        </left>
        <right style="thin">
          <color indexed="64"/>
        </right>
      </border>
      <protection locked="1" hidden="1"/>
    </dxf>
    <dxf>
      <fill>
        <patternFill patternType="solid">
          <fgColor indexed="64"/>
          <bgColor theme="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ill>
        <patternFill patternType="solid">
          <fgColor indexed="64"/>
          <bgColor theme="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ill>
        <patternFill patternType="none">
          <fgColor indexed="64"/>
          <bgColor auto="1"/>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bottom"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bottom/>
      </border>
      <protection locked="1" hidden="1"/>
    </dxf>
  </dxfs>
  <tableStyles count="0" defaultTableStyle="TableStyleMedium2" defaultPivotStyle="PivotStyleLight16"/>
  <colors>
    <mruColors>
      <color rgb="FF9BBB59"/>
      <color rgb="FFFFC7CE"/>
      <color rgb="FF0066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eetMetadata" Target="metadata.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896938</xdr:colOff>
      <xdr:row>53</xdr:row>
      <xdr:rowOff>4262438</xdr:rowOff>
    </xdr:from>
    <xdr:to>
      <xdr:col>1</xdr:col>
      <xdr:colOff>2598738</xdr:colOff>
      <xdr:row>53</xdr:row>
      <xdr:rowOff>5136198</xdr:rowOff>
    </xdr:to>
    <xdr:pic>
      <xdr:nvPicPr>
        <xdr:cNvPr id="5" name="Picture 4">
          <a:extLst>
            <a:ext uri="{FF2B5EF4-FFF2-40B4-BE49-F238E27FC236}">
              <a16:creationId xmlns:a16="http://schemas.microsoft.com/office/drawing/2014/main" id="{A1009D78-9AC7-4A5B-4372-55480565FA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92563" y="55935563"/>
          <a:ext cx="1704975" cy="87693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2714625</xdr:colOff>
      <xdr:row>4</xdr:row>
      <xdr:rowOff>9525</xdr:rowOff>
    </xdr:from>
    <xdr:to>
      <xdr:col>2</xdr:col>
      <xdr:colOff>1257300</xdr:colOff>
      <xdr:row>5</xdr:row>
      <xdr:rowOff>152400</xdr:rowOff>
    </xdr:to>
    <xdr:sp macro="" textlink="">
      <xdr:nvSpPr>
        <xdr:cNvPr id="2" name="TextBox 1">
          <a:extLst>
            <a:ext uri="{FF2B5EF4-FFF2-40B4-BE49-F238E27FC236}">
              <a16:creationId xmlns:a16="http://schemas.microsoft.com/office/drawing/2014/main" id="{E4DA2119-5604-421B-B57F-7ACC04C1C4C6}"/>
            </a:ext>
          </a:extLst>
        </xdr:cNvPr>
        <xdr:cNvSpPr txBox="1"/>
      </xdr:nvSpPr>
      <xdr:spPr>
        <a:xfrm>
          <a:off x="2714625" y="746125"/>
          <a:ext cx="3330575" cy="327025"/>
        </a:xfrm>
        <a:prstGeom prst="rect">
          <a:avLst/>
        </a:prstGeom>
        <a:solidFill>
          <a:schemeClr val="accent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600" b="1">
              <a:solidFill>
                <a:schemeClr val="bg1"/>
              </a:solidFill>
            </a:rPr>
            <a:t>Please enter </a:t>
          </a:r>
          <a:r>
            <a:rPr lang="en-US" sz="1600" b="1" u="sng">
              <a:solidFill>
                <a:schemeClr val="bg1"/>
              </a:solidFill>
            </a:rPr>
            <a:t>2022</a:t>
          </a:r>
          <a:r>
            <a:rPr lang="en-US" sz="1600" b="1">
              <a:solidFill>
                <a:schemeClr val="bg1"/>
              </a:solidFill>
            </a:rPr>
            <a:t> data</a:t>
          </a:r>
          <a:r>
            <a:rPr lang="en-US" sz="1600" b="1" baseline="0">
              <a:solidFill>
                <a:schemeClr val="bg1"/>
              </a:solidFill>
            </a:rPr>
            <a:t> in this tab.</a:t>
          </a:r>
          <a:endParaRPr lang="en-US" sz="16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4</xdr:row>
      <xdr:rowOff>0</xdr:rowOff>
    </xdr:from>
    <xdr:to>
      <xdr:col>4</xdr:col>
      <xdr:colOff>352425</xdr:colOff>
      <xdr:row>5</xdr:row>
      <xdr:rowOff>142875</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2762250" y="762000"/>
          <a:ext cx="3114675" cy="333375"/>
        </a:xfrm>
        <a:prstGeom prst="rect">
          <a:avLst/>
        </a:prstGeom>
        <a:solidFill>
          <a:schemeClr val="accent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chemeClr val="bg1"/>
              </a:solidFill>
            </a:rPr>
            <a:t>Please enter </a:t>
          </a:r>
          <a:r>
            <a:rPr lang="en-US" sz="1600" b="1" u="sng">
              <a:solidFill>
                <a:schemeClr val="bg1"/>
              </a:solidFill>
            </a:rPr>
            <a:t>2021</a:t>
          </a:r>
          <a:r>
            <a:rPr lang="en-US" sz="1600" b="1">
              <a:solidFill>
                <a:schemeClr val="bg1"/>
              </a:solidFill>
            </a:rPr>
            <a:t> data</a:t>
          </a:r>
          <a:r>
            <a:rPr lang="en-US" sz="1600" b="1" baseline="0">
              <a:solidFill>
                <a:schemeClr val="bg1"/>
              </a:solidFill>
            </a:rPr>
            <a:t> in this tab.</a:t>
          </a:r>
          <a:endParaRPr lang="en-US" sz="1600" b="1">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4</xdr:row>
      <xdr:rowOff>0</xdr:rowOff>
    </xdr:from>
    <xdr:to>
      <xdr:col>4</xdr:col>
      <xdr:colOff>352425</xdr:colOff>
      <xdr:row>5</xdr:row>
      <xdr:rowOff>142875</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2762250" y="762000"/>
          <a:ext cx="3114675" cy="333375"/>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chemeClr val="bg1"/>
              </a:solidFill>
            </a:rPr>
            <a:t>Please enter </a:t>
          </a:r>
          <a:r>
            <a:rPr lang="en-US" sz="1600" b="1" u="sng">
              <a:solidFill>
                <a:schemeClr val="bg1"/>
              </a:solidFill>
            </a:rPr>
            <a:t>2022</a:t>
          </a:r>
          <a:r>
            <a:rPr lang="en-US" sz="1600" b="1">
              <a:solidFill>
                <a:schemeClr val="bg1"/>
              </a:solidFill>
            </a:rPr>
            <a:t> data</a:t>
          </a:r>
          <a:r>
            <a:rPr lang="en-US" sz="1600" b="1" baseline="0">
              <a:solidFill>
                <a:schemeClr val="bg1"/>
              </a:solidFill>
            </a:rPr>
            <a:t> in this tab.</a:t>
          </a:r>
          <a:endParaRPr lang="en-US" sz="1600" b="1">
            <a:solidFill>
              <a:schemeClr val="bg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3</xdr:row>
      <xdr:rowOff>0</xdr:rowOff>
    </xdr:from>
    <xdr:to>
      <xdr:col>4</xdr:col>
      <xdr:colOff>885825</xdr:colOff>
      <xdr:row>4</xdr:row>
      <xdr:rowOff>142875</xdr:rowOff>
    </xdr:to>
    <xdr:sp macro="" textlink="">
      <xdr:nvSpPr>
        <xdr:cNvPr id="2" name="TextBox 1">
          <a:extLst>
            <a:ext uri="{FF2B5EF4-FFF2-40B4-BE49-F238E27FC236}">
              <a16:creationId xmlns:a16="http://schemas.microsoft.com/office/drawing/2014/main" id="{23F0E46D-0669-41BF-888F-5F9BDE955D9A}"/>
            </a:ext>
          </a:extLst>
        </xdr:cNvPr>
        <xdr:cNvSpPr txBox="1"/>
      </xdr:nvSpPr>
      <xdr:spPr>
        <a:xfrm>
          <a:off x="2971800" y="542925"/>
          <a:ext cx="3225800" cy="320675"/>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600" b="1">
              <a:solidFill>
                <a:schemeClr val="bg1"/>
              </a:solidFill>
            </a:rPr>
            <a:t>Please enter </a:t>
          </a:r>
          <a:r>
            <a:rPr lang="en-US" sz="1600" b="1" u="sng">
              <a:solidFill>
                <a:schemeClr val="bg1"/>
              </a:solidFill>
            </a:rPr>
            <a:t>2019</a:t>
          </a:r>
          <a:r>
            <a:rPr lang="en-US" sz="1600" b="1">
              <a:solidFill>
                <a:schemeClr val="bg1"/>
              </a:solidFill>
            </a:rPr>
            <a:t> data</a:t>
          </a:r>
          <a:r>
            <a:rPr lang="en-US" sz="1600" b="1" baseline="0">
              <a:solidFill>
                <a:schemeClr val="bg1"/>
              </a:solidFill>
            </a:rPr>
            <a:t> in this tab.</a:t>
          </a:r>
          <a:endParaRPr lang="en-US" sz="1600" b="1">
            <a:solidFill>
              <a:schemeClr val="bg1"/>
            </a:solidFill>
          </a:endParaRPr>
        </a:p>
      </xdr:txBody>
    </xdr:sp>
    <xdr:clientData/>
  </xdr:twoCellAnchor>
  <xdr:twoCellAnchor>
    <xdr:from>
      <xdr:col>2</xdr:col>
      <xdr:colOff>0</xdr:colOff>
      <xdr:row>3</xdr:row>
      <xdr:rowOff>0</xdr:rowOff>
    </xdr:from>
    <xdr:to>
      <xdr:col>4</xdr:col>
      <xdr:colOff>885825</xdr:colOff>
      <xdr:row>4</xdr:row>
      <xdr:rowOff>142875</xdr:rowOff>
    </xdr:to>
    <xdr:sp macro="" textlink="">
      <xdr:nvSpPr>
        <xdr:cNvPr id="3" name="TextBox 2">
          <a:extLst>
            <a:ext uri="{FF2B5EF4-FFF2-40B4-BE49-F238E27FC236}">
              <a16:creationId xmlns:a16="http://schemas.microsoft.com/office/drawing/2014/main" id="{97C17BBA-DAA4-421D-BFF3-67F987D017C6}"/>
            </a:ext>
          </a:extLst>
        </xdr:cNvPr>
        <xdr:cNvSpPr txBox="1"/>
      </xdr:nvSpPr>
      <xdr:spPr>
        <a:xfrm>
          <a:off x="2971800" y="542925"/>
          <a:ext cx="3225800" cy="320675"/>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chemeClr val="bg1"/>
              </a:solidFill>
            </a:rPr>
            <a:t>Please enter </a:t>
          </a:r>
          <a:r>
            <a:rPr lang="en-US" sz="1600" b="1" u="sng">
              <a:solidFill>
                <a:schemeClr val="bg1"/>
              </a:solidFill>
            </a:rPr>
            <a:t>2021</a:t>
          </a:r>
          <a:r>
            <a:rPr lang="en-US" sz="1600" b="1">
              <a:solidFill>
                <a:schemeClr val="bg1"/>
              </a:solidFill>
            </a:rPr>
            <a:t> data</a:t>
          </a:r>
          <a:r>
            <a:rPr lang="en-US" sz="1600" b="1" baseline="0">
              <a:solidFill>
                <a:schemeClr val="bg1"/>
              </a:solidFill>
            </a:rPr>
            <a:t> in this tab.</a:t>
          </a:r>
          <a:endParaRPr lang="en-US" sz="1600" b="1">
            <a:solidFill>
              <a:schemeClr val="bg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3</xdr:row>
      <xdr:rowOff>0</xdr:rowOff>
    </xdr:from>
    <xdr:to>
      <xdr:col>4</xdr:col>
      <xdr:colOff>885825</xdr:colOff>
      <xdr:row>4</xdr:row>
      <xdr:rowOff>142875</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2828925" y="571500"/>
          <a:ext cx="3114675" cy="333375"/>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600" b="1">
              <a:solidFill>
                <a:schemeClr val="bg1"/>
              </a:solidFill>
            </a:rPr>
            <a:t>Please enter </a:t>
          </a:r>
          <a:r>
            <a:rPr lang="en-US" sz="1600" b="1" u="sng">
              <a:solidFill>
                <a:schemeClr val="bg1"/>
              </a:solidFill>
            </a:rPr>
            <a:t>2019</a:t>
          </a:r>
          <a:r>
            <a:rPr lang="en-US" sz="1600" b="1">
              <a:solidFill>
                <a:schemeClr val="bg1"/>
              </a:solidFill>
            </a:rPr>
            <a:t> data</a:t>
          </a:r>
          <a:r>
            <a:rPr lang="en-US" sz="1600" b="1" baseline="0">
              <a:solidFill>
                <a:schemeClr val="bg1"/>
              </a:solidFill>
            </a:rPr>
            <a:t> in this tab.</a:t>
          </a:r>
          <a:endParaRPr lang="en-US" sz="1600" b="1">
            <a:solidFill>
              <a:schemeClr val="bg1"/>
            </a:solidFill>
          </a:endParaRPr>
        </a:p>
      </xdr:txBody>
    </xdr:sp>
    <xdr:clientData/>
  </xdr:twoCellAnchor>
  <xdr:twoCellAnchor>
    <xdr:from>
      <xdr:col>2</xdr:col>
      <xdr:colOff>0</xdr:colOff>
      <xdr:row>3</xdr:row>
      <xdr:rowOff>0</xdr:rowOff>
    </xdr:from>
    <xdr:to>
      <xdr:col>4</xdr:col>
      <xdr:colOff>885825</xdr:colOff>
      <xdr:row>4</xdr:row>
      <xdr:rowOff>142875</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2828925" y="571500"/>
          <a:ext cx="3114675" cy="333375"/>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chemeClr val="bg1"/>
              </a:solidFill>
            </a:rPr>
            <a:t>Please enter </a:t>
          </a:r>
          <a:r>
            <a:rPr lang="en-US" sz="1600" b="1" u="sng">
              <a:solidFill>
                <a:schemeClr val="bg1"/>
              </a:solidFill>
            </a:rPr>
            <a:t>2022</a:t>
          </a:r>
          <a:r>
            <a:rPr lang="en-US" sz="1600" b="1">
              <a:solidFill>
                <a:schemeClr val="bg1"/>
              </a:solidFill>
            </a:rPr>
            <a:t> data</a:t>
          </a:r>
          <a:r>
            <a:rPr lang="en-US" sz="1600" b="1" baseline="0">
              <a:solidFill>
                <a:schemeClr val="bg1"/>
              </a:solidFill>
            </a:rPr>
            <a:t> in this tab.</a:t>
          </a:r>
          <a:endParaRPr lang="en-US" sz="1600" b="1">
            <a:solidFill>
              <a:schemeClr val="bg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5</xdr:row>
      <xdr:rowOff>0</xdr:rowOff>
    </xdr:from>
    <xdr:to>
      <xdr:col>2</xdr:col>
      <xdr:colOff>1219200</xdr:colOff>
      <xdr:row>6</xdr:row>
      <xdr:rowOff>142875</xdr:rowOff>
    </xdr:to>
    <xdr:sp macro="" textlink="">
      <xdr:nvSpPr>
        <xdr:cNvPr id="4" name="TextBox 3">
          <a:extLst>
            <a:ext uri="{FF2B5EF4-FFF2-40B4-BE49-F238E27FC236}">
              <a16:creationId xmlns:a16="http://schemas.microsoft.com/office/drawing/2014/main" id="{00000000-0008-0000-0D00-000004000000}"/>
            </a:ext>
          </a:extLst>
        </xdr:cNvPr>
        <xdr:cNvSpPr txBox="1"/>
      </xdr:nvSpPr>
      <xdr:spPr>
        <a:xfrm>
          <a:off x="1981200" y="952500"/>
          <a:ext cx="3200400" cy="333375"/>
        </a:xfrm>
        <a:prstGeom prst="rect">
          <a:avLst/>
        </a:prstGeom>
        <a:solidFill>
          <a:schemeClr val="accent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chemeClr val="bg1"/>
              </a:solidFill>
            </a:rPr>
            <a:t>Please enter </a:t>
          </a:r>
          <a:r>
            <a:rPr lang="en-US" sz="1600" b="1" u="sng">
              <a:solidFill>
                <a:schemeClr val="bg1"/>
              </a:solidFill>
            </a:rPr>
            <a:t>2021</a:t>
          </a:r>
          <a:r>
            <a:rPr lang="en-US" sz="1600" b="1">
              <a:solidFill>
                <a:schemeClr val="bg1"/>
              </a:solidFill>
            </a:rPr>
            <a:t> data</a:t>
          </a:r>
          <a:r>
            <a:rPr lang="en-US" sz="1600" b="1" baseline="0">
              <a:solidFill>
                <a:schemeClr val="bg1"/>
              </a:solidFill>
            </a:rPr>
            <a:t> in this tab.</a:t>
          </a:r>
          <a:endParaRPr lang="en-US" sz="1600" b="1">
            <a:solidFill>
              <a:schemeClr val="bg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5</xdr:row>
      <xdr:rowOff>0</xdr:rowOff>
    </xdr:from>
    <xdr:to>
      <xdr:col>2</xdr:col>
      <xdr:colOff>1136904</xdr:colOff>
      <xdr:row>6</xdr:row>
      <xdr:rowOff>142875</xdr:rowOff>
    </xdr:to>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1981200" y="952500"/>
          <a:ext cx="3118104" cy="333375"/>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chemeClr val="bg1"/>
              </a:solidFill>
            </a:rPr>
            <a:t>Please enter </a:t>
          </a:r>
          <a:r>
            <a:rPr lang="en-US" sz="1600" b="1" u="sng">
              <a:solidFill>
                <a:schemeClr val="bg1"/>
              </a:solidFill>
            </a:rPr>
            <a:t>2022</a:t>
          </a:r>
          <a:r>
            <a:rPr lang="en-US" sz="1600" b="1">
              <a:solidFill>
                <a:schemeClr val="bg1"/>
              </a:solidFill>
            </a:rPr>
            <a:t> data</a:t>
          </a:r>
          <a:r>
            <a:rPr lang="en-US" sz="1600" b="1" baseline="0">
              <a:solidFill>
                <a:schemeClr val="bg1"/>
              </a:solidFill>
            </a:rPr>
            <a:t> in this tab.</a:t>
          </a:r>
          <a:endParaRPr lang="en-US" sz="1600" b="1">
            <a:solidFill>
              <a:schemeClr val="bg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19050</xdr:rowOff>
    </xdr:from>
    <xdr:to>
      <xdr:col>3</xdr:col>
      <xdr:colOff>1914525</xdr:colOff>
      <xdr:row>5</xdr:row>
      <xdr:rowOff>161925</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2495550" y="742950"/>
          <a:ext cx="4000500" cy="323850"/>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chemeClr val="bg1"/>
              </a:solidFill>
            </a:rPr>
            <a:t>Please enter </a:t>
          </a:r>
          <a:r>
            <a:rPr lang="en-US" sz="1600" b="1" u="sng">
              <a:solidFill>
                <a:schemeClr val="bg1"/>
              </a:solidFill>
            </a:rPr>
            <a:t>2021</a:t>
          </a:r>
          <a:r>
            <a:rPr lang="en-US" sz="1600" b="1" u="sng" baseline="0">
              <a:solidFill>
                <a:schemeClr val="bg1"/>
              </a:solidFill>
            </a:rPr>
            <a:t> </a:t>
          </a:r>
          <a:r>
            <a:rPr lang="en-US" sz="1600" b="1" u="sng">
              <a:solidFill>
                <a:schemeClr val="bg1"/>
              </a:solidFill>
            </a:rPr>
            <a:t>and 2022</a:t>
          </a:r>
          <a:r>
            <a:rPr lang="en-US" sz="1600" b="1">
              <a:solidFill>
                <a:schemeClr val="bg1"/>
              </a:solidFill>
            </a:rPr>
            <a:t> data</a:t>
          </a:r>
          <a:r>
            <a:rPr lang="en-US" sz="1600" b="1" baseline="0">
              <a:solidFill>
                <a:schemeClr val="bg1"/>
              </a:solidFill>
            </a:rPr>
            <a:t> in this tab.</a:t>
          </a:r>
          <a:endParaRPr lang="en-US" sz="1600" b="1">
            <a:solidFill>
              <a:schemeClr val="bg1"/>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2714625</xdr:colOff>
      <xdr:row>4</xdr:row>
      <xdr:rowOff>9525</xdr:rowOff>
    </xdr:from>
    <xdr:to>
      <xdr:col>2</xdr:col>
      <xdr:colOff>1257300</xdr:colOff>
      <xdr:row>5</xdr:row>
      <xdr:rowOff>152400</xdr:rowOff>
    </xdr:to>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2714625" y="771525"/>
          <a:ext cx="3114675" cy="333375"/>
        </a:xfrm>
        <a:prstGeom prst="rect">
          <a:avLst/>
        </a:prstGeom>
        <a:solidFill>
          <a:schemeClr val="accent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600" b="1">
              <a:solidFill>
                <a:schemeClr val="bg1"/>
              </a:solidFill>
            </a:rPr>
            <a:t>Please enter </a:t>
          </a:r>
          <a:r>
            <a:rPr lang="en-US" sz="1600" b="1" u="sng">
              <a:solidFill>
                <a:schemeClr val="bg1"/>
              </a:solidFill>
            </a:rPr>
            <a:t>2021</a:t>
          </a:r>
          <a:r>
            <a:rPr lang="en-US" sz="1600" b="1">
              <a:solidFill>
                <a:schemeClr val="bg1"/>
              </a:solidFill>
            </a:rPr>
            <a:t> data</a:t>
          </a:r>
          <a:r>
            <a:rPr lang="en-US" sz="1600" b="1" baseline="0">
              <a:solidFill>
                <a:schemeClr val="bg1"/>
              </a:solidFill>
            </a:rPr>
            <a:t> in this tab.</a:t>
          </a:r>
          <a:endParaRPr lang="en-US" sz="1600" b="1">
            <a:solidFill>
              <a:schemeClr val="bg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egan/RI%20Governor/MA%20TME%20APM%202019%20Template%20with%20calculation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ystem Data"/>
      <sheetName val="Contents"/>
      <sheetName val="A. Front Page"/>
      <sheetName val="B. Zip Code"/>
      <sheetName val="C. Physician Group"/>
      <sheetName val="D.1 Summary"/>
      <sheetName val="D.2 Summary Trends"/>
      <sheetName val="Reference Tables"/>
      <sheetName val="Payer Names"/>
    </sheetNames>
    <sheetDataSet>
      <sheetData sheetId="0"/>
      <sheetData sheetId="1"/>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9589812-4C0A-4769-9FAC-1F773C548E00}" name="ExpectedICC" displayName="ExpectedICC" ref="A4:I9" totalsRowShown="0" headerRowDxfId="1070" dataDxfId="1068" headerRowBorderDxfId="1069" tableBorderDxfId="1067" totalsRowBorderDxfId="1066">
  <tableColumns count="9">
    <tableColumn id="1" xr3:uid="{80E2D06D-4166-46FD-A9D8-1812314A6C5B}" name="Insurer" dataDxfId="1065"/>
    <tableColumn id="2" xr3:uid="{2C956982-5F96-4066-A8EC-8092BC8A1C9F}" name="Medicare Managed Care" dataDxfId="1064"/>
    <tableColumn id="3" xr3:uid="{752FEFAD-B37E-47B2-B965-FD6A777747D8}" name="Medicaid Managed Care" dataDxfId="1063"/>
    <tableColumn id="4" xr3:uid="{0C6A36A8-1AF3-4B7C-A0B1-3B5D7593CE0C}" name="Commercial Full Claims" dataDxfId="1062"/>
    <tableColumn id="5" xr3:uid="{FD65149A-7977-49A7-8766-2446E9811647}" name="Commercial Partial Claims" dataDxfId="1061"/>
    <tableColumn id="6" xr3:uid="{C5C454F2-D4D3-4DBD-B73C-0AC67494FACD}" name="Medicare Exp. Duals" dataDxfId="1060"/>
    <tableColumn id="7" xr3:uid="{B2AC31DA-1CD3-4948-B690-489B8C7D05AB}" name="Medicaid Exp. Duals" dataDxfId="1059"/>
    <tableColumn id="9" xr3:uid="{A60CDDEF-6BB4-4281-AC07-FEDDD21CCE66}" name="Medicare/Medicaid Integrated Duals Product" dataDxfId="1058"/>
    <tableColumn id="8" xr3:uid="{BA985DD9-650F-4DB7-9484-40A6D64064F5}" name="Other" dataDxfId="1057"/>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4CD8CD6-DBC5-4246-9E8A-F02FE7DD7FE9}" name="MarketEnrollCatCode" displayName="MarketEnrollCatCode" ref="A43:B51" totalsRowShown="0" headerRowDxfId="995" dataDxfId="994">
  <tableColumns count="2">
    <tableColumn id="1" xr3:uid="{9AA78217-19DA-4578-937F-6DDCE92627B2}" name="Line of Business Enrollment Category Code" dataDxfId="993"/>
    <tableColumn id="2" xr3:uid="{8D3E2BD4-BDCF-4A8A-9CD1-3C4C06C54549}" name="Definition" dataDxfId="992"/>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463319C-C108-4245-A128-3FD94E64386E}" name="TruncationPointsbyICC" displayName="TruncationPointsbyICC" ref="A53:C61" totalsRowShown="0" headerRowDxfId="991" dataDxfId="990">
  <tableColumns count="3">
    <tableColumn id="1" xr3:uid="{61FD989F-187A-4916-A173-A48B2FD31E8C}" name="Insurance Category Code" dataDxfId="989"/>
    <tableColumn id="2" xr3:uid="{2DA2C387-2AF1-4CEC-A8D1-5AA286AF0EEA}" name="Definition" dataDxfId="988"/>
    <tableColumn id="3" xr3:uid="{C356FB48-E375-494C-B480-F89AD5DA3E89}" name="Per Member Truncation Point" dataDxfId="987"/>
  </tableColumns>
  <tableStyleInfo name="TableStyleLight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75A71555-468C-4E78-953F-876FC44DF3F8}" name="PrimaryCareProviderTaxonomies" displayName="PrimaryCareProviderTaxonomies" ref="A78:C102" totalsRowShown="0" headerRowDxfId="986" dataDxfId="985" tableBorderDxfId="984">
  <tableColumns count="3">
    <tableColumn id="1" xr3:uid="{3C9F1E94-F270-4B74-B8F3-7C9ACC2A9CFF}" name="Primary Care Specialties _x000a_Provider Taxonomy Code" dataDxfId="983"/>
    <tableColumn id="2" xr3:uid="{9F1C415A-E5A2-459E-A844-478BF4088D73}" name="Taxonomy Code Description" dataDxfId="982"/>
    <tableColumn id="3" xr3:uid="{2D367139-F5D8-4012-8841-E4BB307E9167}" name="Notes or Restrictions" dataDxfId="981"/>
  </tableColumns>
  <tableStyleInfo name="TableStyleLight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BA2A8D12-8AFD-4986-91CE-95949AA11902}" name="PrimaryCareProcedureCodes" displayName="PrimaryCareProcedureCodes" ref="A104:C239" totalsRowShown="0" headerRowDxfId="980" dataDxfId="979" tableBorderDxfId="978">
  <autoFilter ref="A104:C239" xr:uid="{BA2A8D12-8AFD-4986-91CE-95949AA11902}"/>
  <tableColumns count="3">
    <tableColumn id="1" xr3:uid="{D01380B4-9725-433D-98FF-2CFF7360AC77}" name="Primary Care Procedure Code" dataDxfId="977"/>
    <tableColumn id="2" xr3:uid="{7DFD9659-AF0D-4588-83E6-A661133F8598}" name="Procedure Code Description" dataDxfId="976"/>
    <tableColumn id="3" xr3:uid="{49C87306-6660-4180-AAC1-B3AA4D89EAEB}" name="Reporting Procedure Category" dataDxfId="975"/>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20DC63D7-8A6E-4BB1-94D1-D4252346DF8F}" name="AgeBandCodes" displayName="AgeBandCodes" ref="A63:B71" totalsRowShown="0" tableBorderDxfId="974">
  <tableColumns count="2">
    <tableColumn id="1" xr3:uid="{7D573F15-893A-43FA-8E4D-46B9CD4E43FB}" name="Age Band Code" dataDxfId="973"/>
    <tableColumn id="2" xr3:uid="{FB170013-53F4-4B4D-BA31-515D266E044B}" name="Description" dataDxfId="972"/>
  </tableColumns>
  <tableStyleInfo name="TableStyleLight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67B89027-D6BA-4260-AF31-B2551BCF1738}" name="SexCodes" displayName="SexCodes" ref="A73:B75" totalsRowShown="0" tableBorderDxfId="971">
  <tableColumns count="2">
    <tableColumn id="1" xr3:uid="{51FABFAE-39A5-4918-9C38-EB55B54EDC3A}" name="Sex Code" dataDxfId="970"/>
    <tableColumn id="2" xr3:uid="{479698D7-D6E9-47A7-9F24-B5A152CFE70E}" name="Description" dataDxfId="969"/>
  </tableColumns>
  <tableStyleInfo name="TableStyleLight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504F55AA-D6D6-4FF5-A669-AC08D5E70825}" name="Market_ICC" displayName="Market_ICC" ref="A21:B25" totalsRowShown="0" headerRowDxfId="968">
  <tableColumns count="2">
    <tableColumn id="1" xr3:uid="{0D80A307-3A48-4CA6-94C3-B86802322E62}" name="Market" dataDxfId="967"/>
    <tableColumn id="2" xr3:uid="{ACCD0BCD-9E83-4E84-813F-58A02EC3DACF}" name="Insurance Category Codes Included" dataDxfId="966"/>
  </tableColumns>
  <tableStyleInfo name="TableStyleLight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2A57BC7-6247-4916-A0B7-950886B02FB2}" name="HDTME2021" displayName="HDTME2021" ref="A9:H10" totalsRowShown="0" headerRowDxfId="965" dataDxfId="963" headerRowBorderDxfId="964" tableBorderDxfId="962" totalsRowBorderDxfId="961">
  <tableColumns count="8">
    <tableColumn id="1" xr3:uid="{2397B0B0-745F-4187-92EB-7FE5C66D67F3}" name="Insurer Organization ID" dataDxfId="960"/>
    <tableColumn id="2" xr3:uid="{FAE002C7-D18B-464F-B7CF-AFC66B7E6DD0}" name="Period Beginning Date" dataDxfId="959"/>
    <tableColumn id="3" xr3:uid="{7CF8F317-C000-4B12-8423-E486D2B11C5E}" name="Period Ending Date" dataDxfId="958"/>
    <tableColumn id="4" xr3:uid="{85DE7CA9-D06E-4F36-A5D5-08F8E9A118CF}" name="Insurer Comments" dataDxfId="957"/>
    <tableColumn id="5" xr3:uid="{7514AB26-E844-4506-A479-6F504B331300}" name="Clinical Risk Adjustment Tool" dataDxfId="956"/>
    <tableColumn id="6" xr3:uid="{8568500C-A816-436F-8477-08C9263DC4B1}" name="Clinical Risk Adjustment Version" dataDxfId="955"/>
    <tableColumn id="7" xr3:uid="{FF55719B-BA9B-4EC8-AEF0-BD4B2050A3C9}" name="Clinical Risk Adjustment Methodology" dataDxfId="954"/>
    <tableColumn id="8" xr3:uid="{6AB91F3A-C5BF-45AE-A260-A3C47C42DE12}" name="&quot;Doing Business As&quot;" dataDxfId="953"/>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E85221C5-6D8C-4F38-99B2-63373073E6E6}" name="HDTME2022" displayName="HDTME2022" ref="A9:H10" totalsRowShown="0" headerRowDxfId="952" dataDxfId="950" headerRowBorderDxfId="951" tableBorderDxfId="949" totalsRowBorderDxfId="948">
  <tableColumns count="8">
    <tableColumn id="1" xr3:uid="{F756D28D-6F93-413E-A7AB-F71FBAB7F894}" name="Insurer Organization ID" dataDxfId="947"/>
    <tableColumn id="2" xr3:uid="{7E18F15E-BEAC-4514-8D06-E1D6B737761D}" name="Period Beginning Date" dataDxfId="946"/>
    <tableColumn id="3" xr3:uid="{70C07F36-8FEA-4316-A9DB-DA50C8233C3E}" name="Period Ending Date" dataDxfId="945"/>
    <tableColumn id="4" xr3:uid="{8048B015-4625-4B7B-9EB0-75E04A59B60F}" name="Insurer Comments" dataDxfId="944"/>
    <tableColumn id="5" xr3:uid="{7AC220DF-A001-4F9F-9E5A-A2C62FFEF961}" name="Clinical Risk Adjustment Tool" dataDxfId="943"/>
    <tableColumn id="6" xr3:uid="{3F7612E7-F0D2-4C95-8A49-DD2918F4334C}" name="Clinical Risk Adjustment Version" dataDxfId="942"/>
    <tableColumn id="7" xr3:uid="{524A4339-42C1-4D92-8044-199AA02CF745}" name="Clinical Risk Adjustment Methodology" dataDxfId="941"/>
    <tableColumn id="8" xr3:uid="{5A1757B0-6DAA-439C-9CFA-3EA28B189009}" name="&quot;Doing Business As&quot;" dataDxfId="940"/>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398004D8-33B6-49EF-AB2D-4AAC23200377}" name="ACOAETME2021" displayName="ACOAETME2021" ref="A10:AC134" totalsRowShown="0" headerRowDxfId="939" dataDxfId="937" headerRowBorderDxfId="938" tableBorderDxfId="936" totalsRowBorderDxfId="935" dataCellStyle="Currency">
  <sortState xmlns:xlrd2="http://schemas.microsoft.com/office/spreadsheetml/2017/richdata2" ref="A11:Z134">
    <sortCondition ref="B10:B134"/>
  </sortState>
  <tableColumns count="29">
    <tableColumn id="1" xr3:uid="{78391FAD-B96E-4234-BDA7-1C803939951B}" name="ACO/AE or Insurer Overall Organization ID" dataDxfId="934"/>
    <tableColumn id="2" xr3:uid="{83B91742-13DC-46C9-B171-116A50983141}" name="Insurance Category Code" dataDxfId="933"/>
    <tableColumn id="3" xr3:uid="{0E76B7B6-7DF7-4694-A1A1-F33C49A5C148}" name="Member Months" dataDxfId="932"/>
    <tableColumn id="4" xr3:uid="{18E661F8-9BF6-438D-AF90-E02A591ECF5B}" name="Clinical Risk Score" dataDxfId="931"/>
    <tableColumn id="5" xr3:uid="{6B26641E-AED5-4AB4-A418-5F9F7F6D5BA6}" name="Claims: Hospital Inpatient" dataDxfId="930" dataCellStyle="Currency"/>
    <tableColumn id="6" xr3:uid="{45CE46B0-0FF9-4CDC-9615-A23C1EDE01A2}" name="Claims: Hospital Outpatient" dataDxfId="929" dataCellStyle="Currency"/>
    <tableColumn id="7" xr3:uid="{C1264FB3-09A9-44A0-A842-15B933738BA3}" name="Claims: Professional, Primary Care" dataDxfId="928" dataCellStyle="Currency"/>
    <tableColumn id="9" xr3:uid="{29A99D20-5622-4E15-9A28-69804AE813A1}" name="Claims: Professional, Specialty Care" dataDxfId="927" dataCellStyle="Currency"/>
    <tableColumn id="10" xr3:uid="{8598F401-4EA1-44FB-BEB7-8D133891A86B}" name="Claims: Professional Other" dataDxfId="926" dataCellStyle="Currency"/>
    <tableColumn id="11" xr3:uid="{08D349E7-4883-428F-97DD-398059057D16}" name="Claims: Pharmacy" dataDxfId="925" dataCellStyle="Currency"/>
    <tableColumn id="12" xr3:uid="{201F2351-16EA-45A7-9F1E-E5091CDAEDE2}" name="Claims: Long-Term Care" dataDxfId="924" dataCellStyle="Currency"/>
    <tableColumn id="13" xr3:uid="{0D9CB8E6-63EF-41DD-9941-67F4056B350C}" name="Claims: Other" dataDxfId="923" dataCellStyle="Currency"/>
    <tableColumn id="14" xr3:uid="{8A61D269-9871-46C5-95D2-16906FCE6621}" name="Non-Claims: Prospective Capitated, Prospective Global Budget, Prospective Case Rate, or Prospective Episode-Based Payments" dataDxfId="922" dataCellStyle="Currency"/>
    <tableColumn id="15" xr3:uid="{D674BE9E-2C7C-4FFB-9CDC-99CC08AB94C7}" name="Non-Claims: Performance Incentive Payments" dataDxfId="921" dataCellStyle="Currency"/>
    <tableColumn id="16" xr3:uid="{4E10B691-F15A-4EC9-8BC0-2C684276AD96}" name="Non-Claims: Payments to Support Population Health and Practice Infrastructure" dataDxfId="920" dataCellStyle="Currency"/>
    <tableColumn id="17" xr3:uid="{8E24AEB4-A391-4C66-BEBD-B5A09B20FB83}" name="Non-Claims: Provider Salaries" dataDxfId="919" dataCellStyle="Currency"/>
    <tableColumn id="18" xr3:uid="{7E80F386-DB66-4A14-AEE3-01E4BCC5FF70}" name="Non-Claims: Recoveries" dataDxfId="918" dataCellStyle="Currency"/>
    <tableColumn id="27" xr3:uid="{64782E3D-6E39-4AB1-8FC9-70C6101C37A2}" name="Non-Claims: Other" dataDxfId="917" dataCellStyle="Currency"/>
    <tableColumn id="8" xr3:uid="{1E738D78-EF6E-4C8E-A3A6-82A38CD87FA7}" name="Total Claims Excluded because of Truncation" dataDxfId="916" dataCellStyle="Currency"/>
    <tableColumn id="19" xr3:uid="{8519796A-0153-4D06-A52D-7BE83740BEA7}" name="Count of Members with Claims Truncated" dataDxfId="915" dataCellStyle="Currency"/>
    <tableColumn id="20" xr3:uid="{7CA2BA96-B832-4A58-8F46-6792996494B9}" name="TOTAL Non-Truncated Unadjusted Claims Expenses" dataDxfId="914" dataCellStyle="Currency">
      <calculatedColumnFormula>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calculatedColumnFormula>
    </tableColumn>
    <tableColumn id="28" xr3:uid="{69A6F41D-E96C-4A40-B585-6701CAAB34DC}" name="TOTAL Truncated Unadjusted Claims Expenses (A19 - A17)" dataDxfId="913" dataCellStyle="Currency">
      <calculatedColumnFormula>ACOAETME2021[[#This Row],[TOTAL Non-Truncated Unadjusted Claims Expenses]]-ACOAETME2021[[#This Row],[Total Claims Excluded because of Truncation]]</calculatedColumnFormula>
    </tableColumn>
    <tableColumn id="21" xr3:uid="{7124314D-4413-4DE3-858C-96FFDAF00ABA}" name="TOTAL Non-Claims Expenses" dataDxfId="912" dataCellStyle="Currency">
      <calculatedColumnFormula>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calculatedColumnFormula>
    </tableColumn>
    <tableColumn id="22" xr3:uid="{0C11197B-70AE-4C78-993F-2907A900F1F8}" name="TOTAL Non-Truncated Unadjusted Expenses _x000a_(A19+A21)" dataDxfId="911" dataCellStyle="Currency">
      <calculatedColumnFormula>ACOAETME2021[[#This Row],[TOTAL Non-Truncated Unadjusted Claims Expenses]]+ACOAETME2021[[#This Row],[TOTAL Non-Claims Expenses]]</calculatedColumnFormula>
    </tableColumn>
    <tableColumn id="25" xr3:uid="{A95CBC67-54FF-4D09-AE17-DCF5ED303F63}" name="TOTAL Truncated Unadjusted Expenses (A20+A21)" dataDxfId="910" dataCellStyle="Currency">
      <calculatedColumnFormula>ACOAETME2021[[#This Row],[TOTAL Truncated Unadjusted Claims Expenses (A19 - A17)]]+ACOAETME2021[[#This Row],[TOTAL Non-Claims Expenses]]</calculatedColumnFormula>
    </tableColumn>
    <tableColumn id="23" xr3:uid="{8FE51F37-B5F4-4C29-85CC-E6AAAA43AD3B}" name="Non-Truncated Unadjusted TME (PMPM) (A22/A1)" dataDxfId="909" dataCellStyle="Comma">
      <calculatedColumnFormula>IFERROR(ACOAETME2021[[#This Row],[TOTAL Non-Truncated Unadjusted Expenses 
(A19+A21)]]/ACOAETME2021[[#This Row],[Member Months]], "NA")</calculatedColumnFormula>
    </tableColumn>
    <tableColumn id="29" xr3:uid="{46E2F964-ED3A-4446-891B-D3C0B52EB422}" name="Truncated Unadjusted TME (PMPM) (A23/A1)" dataDxfId="908" dataCellStyle="Currency">
      <calculatedColumnFormula>IFERROR(ACOAETME2021[[#This Row],[TOTAL Truncated Unadjusted Expenses (A20+A21)]]/ACOAETME2021[[#This Row],[Member Months]], "NA")</calculatedColumnFormula>
    </tableColumn>
    <tableColumn id="24" xr3:uid="{6939CC1C-8CF9-49D8-9738-8C20C49A143E}" name="Average Claims Truncated Per Member" dataDxfId="907" dataCellStyle="Currency">
      <calculatedColumnFormula>IFERROR(ACOAETME2021[[#This Row],[Total Claims Excluded because of Truncation]]/ACOAETME2021[[#This Row],[Count of Members with Claims Truncated]],0)</calculatedColumnFormula>
    </tableColumn>
    <tableColumn id="26" xr3:uid="{ABAF0D08-925C-4169-A449-B9373AB1C1BB}" name="Total Claims Excluded because of Truncation (A17) / Total Non-Truncated Claims Expenses (A19)" dataDxfId="906" dataCellStyle="Currency">
      <calculatedColumnFormula>IFERROR(ACOAETME2021[[#This Row],[Total Claims Excluded because of Truncation]]/ACOAETME2021[[#This Row],[TOTAL Non-Truncated Unadjusted Claims Expenses]],0)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6448F20-9666-4074-911F-2DEBDFF7472F}" name="PublicData22" displayName="PublicData22" ref="A20:J25" totalsRowShown="0" headerRowDxfId="1056" dataDxfId="1054" headerRowBorderDxfId="1055" tableBorderDxfId="1053" totalsRowBorderDxfId="1052">
  <tableColumns count="10">
    <tableColumn id="1" xr3:uid="{6945F25C-D2C6-4DE2-BF99-636490C9593A}" name="2022 Public Data" dataDxfId="30"/>
    <tableColumn id="2" xr3:uid="{4237B78B-FEA0-44DC-A2BC-630FDAB640B4}" name="Medicare Managed Care Enrollment by State/County/Contract _x000a_X 12" dataDxfId="29" dataCellStyle="Comma"/>
    <tableColumn id="3" xr3:uid="{6E5E14AB-D2EF-475C-A767-242151C1AF79}" name="Medicaid Managed Care Member Months Health Annual Statement (HAS) - from Chaz" dataDxfId="28" dataCellStyle="Currency"/>
    <tableColumn id="4" xr3:uid="{C2ADDF61-47D1-4B64-B3A6-51869DAD73A3}" name="Medicaid Managed Care Unadjusted Claims TME Health Annual Statement (HAS) - from Chaz" dataDxfId="27" dataCellStyle="Currency"/>
    <tableColumn id="9" xr3:uid="{83D89FA2-40BE-4FE8-9080-496CFC9D0781}" name="Individual Commercial Member Months from the Supplemental Health Care Exhibit (SHCE)" dataDxfId="26" dataCellStyle="Currency"/>
    <tableColumn id="5" xr3:uid="{E1112CCC-69DD-4E87-ACDE-35854EF523CE}" name="Small Group Commercial Member Months from the Supplemental Health Care Exhibit (SHCE)" dataDxfId="25" dataCellStyle="Currency"/>
    <tableColumn id="6" xr3:uid="{DCF22E6B-2B99-4867-976C-095A9C5615B9}" name="Large Group Commercial Member Months from the Supplemental Health Care Exhibit (SHCE)" dataDxfId="24" dataCellStyle="Currency"/>
    <tableColumn id="7" xr3:uid="{CB916628-E85E-4176-B351-1731AD4E9898}" name="Self-Insured Commercial Member Months from the Supplemental Health Care Exhibit (SHCE)" dataDxfId="23" dataCellStyle="Currency"/>
    <tableColumn id="8" xr3:uid="{C52C9B3C-FFF9-4E61-B0C1-610813F3C89F}" name="Medicare Managed Care  + Medicare Duals Member Months from the Supplemental Health Care Exhibit (SHCE)" dataDxfId="22" dataCellStyle="Currency"/>
    <tableColumn id="10" xr3:uid="{9EB30C83-A6DF-41F6-B88D-1413D426D45E}" name="Medicaid/CHIP Managed Care + Duals Member Months from the Supplemental Health Care Exhibit (SHCE)" dataDxfId="21" dataCellStyle="Currency"/>
  </tableColumns>
  <tableStyleInfo name="TableStyleLight9"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47526D55-1DA5-482A-8939-B189CB34A49F}" name="ACOAETME2022" displayName="ACOAETME2022" ref="A10:AC134" totalsRowShown="0" headerRowDxfId="905" dataDxfId="903" headerRowBorderDxfId="904" tableBorderDxfId="902" totalsRowBorderDxfId="901" dataCellStyle="Currency">
  <sortState xmlns:xlrd2="http://schemas.microsoft.com/office/spreadsheetml/2017/richdata2" ref="A11:Z134">
    <sortCondition ref="B10:B134"/>
  </sortState>
  <tableColumns count="29">
    <tableColumn id="1" xr3:uid="{66A2B3D1-1DCC-43D7-A541-EE4857D3A1A8}" name="ACO/AE or Insurer Overall Organization ID" dataDxfId="20"/>
    <tableColumn id="2" xr3:uid="{EEA0EEE5-75D2-421C-B1F4-E3E92B9FAD07}" name="Insurance Category Code" dataDxfId="19"/>
    <tableColumn id="3" xr3:uid="{81B4EF84-3A89-4CD1-A34C-0F0414B9E801}" name="Member Months" dataDxfId="18"/>
    <tableColumn id="4" xr3:uid="{D18E4589-50E8-4CC8-AA4B-F36766D9DC4A}" name="Clinical Risk Score" dataDxfId="17"/>
    <tableColumn id="5" xr3:uid="{9F1A103B-1623-4EA6-A4E5-FF5B329B7740}" name="Claims: Hospital Inpatient" dataDxfId="16" dataCellStyle="Currency"/>
    <tableColumn id="6" xr3:uid="{1F862253-FB94-469B-9917-3727E3CAA9F6}" name="Claims: Hospital Outpatient" dataDxfId="15" dataCellStyle="Currency"/>
    <tableColumn id="7" xr3:uid="{6935A7A1-F868-4C65-9E8D-D9BD92566361}" name="Claims: Professional, Primary Care" dataDxfId="14" dataCellStyle="Currency"/>
    <tableColumn id="9" xr3:uid="{0EEA8892-2EE3-4775-BDC6-1A07EEEFD73F}" name="Claims: Professional, Specialty Care" dataDxfId="13" dataCellStyle="Currency"/>
    <tableColumn id="10" xr3:uid="{4690D2CC-4FF6-4D59-9631-CA0149E4C087}" name="Claims: Professional Other" dataDxfId="12" dataCellStyle="Currency"/>
    <tableColumn id="11" xr3:uid="{E1B1DA47-373E-4C33-BE80-039E5C987019}" name="Claims: Pharmacy" dataDxfId="11" dataCellStyle="Currency"/>
    <tableColumn id="12" xr3:uid="{B1EF0725-27B8-4093-A9C7-3F900688AD73}" name="Claims: Long-Term Care" dataDxfId="10" dataCellStyle="Currency"/>
    <tableColumn id="13" xr3:uid="{24B8C913-3510-4BAD-866C-0C78D12CE2D2}" name="Claims: Other" dataDxfId="9" dataCellStyle="Currency"/>
    <tableColumn id="14" xr3:uid="{69C818C8-A33C-44A3-B246-2A30CAC4275E}" name="Non-Claims: Prospective Capitated, Prospective Global Budget, Prospective Case Rate, or Prospective Episode-Based Payments" dataDxfId="8" dataCellStyle="Currency"/>
    <tableColumn id="15" xr3:uid="{9EC37F9B-6AFA-4145-BD53-E2C59C5741A9}" name="Non-Claims: Performance Incentive Payments" dataDxfId="7" dataCellStyle="Currency"/>
    <tableColumn id="16" xr3:uid="{E401CCC9-6BA2-44E4-B501-FEFEE410DEB2}" name="Non-Claims: Payments to Support Population Health and Practice Infrastructure" dataDxfId="6" dataCellStyle="Currency"/>
    <tableColumn id="17" xr3:uid="{C0BD5DC7-8FA0-4040-B508-BA20F659FB26}" name="Non-Claims: Provider Salaries" dataDxfId="5" dataCellStyle="Currency"/>
    <tableColumn id="18" xr3:uid="{8FEA1897-F473-4EF0-8CC8-0887109854D5}" name="Non-Claims: Recoveries" dataDxfId="4" dataCellStyle="Currency"/>
    <tableColumn id="27" xr3:uid="{A88475D9-947B-4AE5-B97F-E49C3250B950}" name="Non-Claims: Other" dataDxfId="3" dataCellStyle="Currency"/>
    <tableColumn id="8" xr3:uid="{AF7EEB1E-2E87-4D53-8CDB-31F80F30BC4A}" name="Total Claims Excluded because of Truncation" dataDxfId="2" dataCellStyle="Currency"/>
    <tableColumn id="19" xr3:uid="{841812EA-8FA1-4C3C-9FC3-8AA2BD6E1FF3}" name="Count of Members with Claims Truncated" dataDxfId="1" dataCellStyle="Currency"/>
    <tableColumn id="20" xr3:uid="{001364BB-B765-4E91-8CF5-DC577D8B9DB8}" name="TOTAL Non-Truncated Unadjusted Claims Expenses" dataDxfId="0" dataCellStyle="Currency">
      <calculatedColumnFormula>SUM(E11:L11)</calculatedColumnFormula>
    </tableColumn>
    <tableColumn id="28" xr3:uid="{540177CA-E335-42E0-B344-9BF72E0CA86B}" name="TOTAL Truncated Unadjusted Claims Expenses (A19 - A17)" dataDxfId="900" dataCellStyle="Currency"/>
    <tableColumn id="21" xr3:uid="{3A3707B5-42B0-44E7-934C-683296028A58}" name="TOTAL Non-Claims Expenses" dataDxfId="899" dataCellStyle="Currency">
      <calculatedColumnFormula>SUM(M11:R11)</calculatedColumnFormula>
    </tableColumn>
    <tableColumn id="22" xr3:uid="{A2F31AA7-D5F5-46DE-99DF-CB9CE8CEE385}" name="TOTAL Non-Truncated Unadjusted Expenses _x000a_(A19+A21)" dataDxfId="898" dataCellStyle="Currency">
      <calculatedColumnFormula>U11+W11</calculatedColumnFormula>
    </tableColumn>
    <tableColumn id="25" xr3:uid="{59B4DDE7-11CE-4819-822A-3346F2ED8E28}" name="TOTAL Truncated Unadjusted Expenses (A20+A21)" dataDxfId="897" dataCellStyle="Currency">
      <calculatedColumnFormula>ACOAETME2022[[#This Row],[TOTAL Non-Truncated Unadjusted Claims Expenses]]/ACOAETME2022[[#This Row],[Clinical Risk Score]]</calculatedColumnFormula>
    </tableColumn>
    <tableColumn id="23" xr3:uid="{8AD5689D-6779-4B33-A436-41439805F1EC}" name="Non-Truncated Unadjusted TME (PMPM) (A22/A1)" dataDxfId="896" dataCellStyle="Comma">
      <calculatedColumnFormula>ACOAETME2022[[#This Row],[TOTAL Truncated Unadjusted Expenses (A20+A21)]]+ACOAETME2022[[#This Row],[TOTAL Non-Claims Expenses]]</calculatedColumnFormula>
    </tableColumn>
    <tableColumn id="29" xr3:uid="{EC8EBA7A-C370-423A-9DEF-E7848D129AA5}" name="Truncated Unadjusted TME (PMPM) (A23/A1)" dataDxfId="895" dataCellStyle="Currency"/>
    <tableColumn id="24" xr3:uid="{5087A2F5-A376-470B-AA15-1B8D325399DA}" name="Average Claims Truncated Per Member" dataDxfId="894" dataCellStyle="Currency">
      <calculatedColumnFormula>IFERROR(ACOAETME2022[[#This Row],[Total Claims Excluded because of Truncation]]/ACOAETME2022[[#This Row],[Count of Members with Claims Truncated]], 0)</calculatedColumnFormula>
    </tableColumn>
    <tableColumn id="26" xr3:uid="{C969FB14-2A28-4542-AD14-0F42FD10AFD5}" name="Total Claims Excluded because of Truncation (A17) / Total Non-Truncated Claims Expenses (A19)" dataDxfId="893" dataCellStyle="Currency">
      <calculatedColumnFormula>IFERROR(ACOAETME2022[[#This Row],[Total Claims Excluded because of Truncation]]/ACOAETME2022[[#This Row],[TOTAL Non-Truncated Unadjusted Claims Expenses]], 0)</calculatedColumnFormula>
    </tableColumn>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DD6C5F2D-6CA7-453D-9631-866D183AF6B9}" name="RxRebates21" displayName="RxRebates21" ref="A10:D18" totalsRowShown="0" headerRowDxfId="892" dataDxfId="890" headerRowBorderDxfId="891" tableBorderDxfId="889" totalsRowBorderDxfId="888">
  <autoFilter ref="A10:D18" xr:uid="{09306306-9EC2-4D64-899F-4177F3C275C5}"/>
  <tableColumns count="4">
    <tableColumn id="1" xr3:uid="{F4857D99-B673-4361-8963-EFBCD230BC19}" name="Insurance Category Code" dataDxfId="887"/>
    <tableColumn id="3" xr3:uid="{9E378CFE-34A3-4088-9281-39648281EC64}" name="Retail Pharmacy Rebates" dataDxfId="886"/>
    <tableColumn id="2" xr3:uid="{EB745DAD-19C8-404D-9CF9-3161B622C187}" name="Medical Pharmacy Rebates" dataDxfId="885"/>
    <tableColumn id="4" xr3:uid="{C53D0649-E6C0-4771-B934-4E50DDEF9651}" name="Total Pharmacy Rebates" dataDxfId="884" dataCellStyle="Currency">
      <calculatedColumnFormula>RxRebates21[[#This Row],[Retail Pharmacy Rebates]]+RxRebates21[[#This Row],[Medical Pharmacy Rebates]]</calculatedColumnFormula>
    </tableColumn>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6FBF0030-2043-45D9-98AC-88E4FE99257F}" name="RxRebates22" displayName="RxRebates22" ref="A10:D18" totalsRowShown="0" headerRowDxfId="883" dataDxfId="881" headerRowBorderDxfId="882" tableBorderDxfId="880" totalsRowBorderDxfId="879">
  <autoFilter ref="A10:D18" xr:uid="{6FBF0030-2043-45D9-98AC-88E4FE99257F}"/>
  <tableColumns count="4">
    <tableColumn id="1" xr3:uid="{122CFEA5-A692-43A6-99DD-05C00DDF3553}" name="Insurance Category Code" dataDxfId="878"/>
    <tableColumn id="3" xr3:uid="{2007D567-0503-4062-BDFF-F65D930C934D}" name="Retail Pharmacy Rebates" dataDxfId="877"/>
    <tableColumn id="2" xr3:uid="{975EE204-5BFA-4836-B2D4-5E99F2B742BB}" name="Medical Pharmacy Rebates" dataDxfId="876"/>
    <tableColumn id="4" xr3:uid="{BEDF3A8C-4D8A-4ED9-BCA4-A163E153AE67}" name="Total Pharmacy Rebates" dataDxfId="875" dataCellStyle="Currency">
      <calculatedColumnFormula>RxRebates22[[#This Row],[Retail Pharmacy Rebates]]+RxRebates22[[#This Row],[Medical Pharmacy Rebates]]</calculatedColumnFormula>
    </tableColumn>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D175777-FB4C-40ED-983E-3B582C53683B}" name="LOBEnroll" displayName="LOBEnroll" ref="A10:C18" totalsRowShown="0" headerRowDxfId="874" headerRowBorderDxfId="873" tableBorderDxfId="872" totalsRowBorderDxfId="871">
  <tableColumns count="3">
    <tableColumn id="1" xr3:uid="{DFF7681B-F057-4EE6-9F53-099C0D73BCBC}" name="Line of Business Enrollment Category Code" dataDxfId="870"/>
    <tableColumn id="2" xr3:uid="{CB9527D1-36D0-4263-8308-22FB55D9AA6D}" name="2021 Member Months" dataDxfId="869"/>
    <tableColumn id="3" xr3:uid="{966723CA-C7A4-4291-81EC-D7C49FCB96A5}" name="2022 Member Months" dataDxfId="868"/>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E036AA82-677A-4B63-BE40-429996453C84}" name="IncFees" displayName="IncFees" ref="F10:H11" totalsRowShown="0" headerRowDxfId="867" dataDxfId="865" headerRowBorderDxfId="866" tableBorderDxfId="864">
  <tableColumns count="3">
    <tableColumn id="1" xr3:uid="{A840EA0A-746E-43BF-A17F-5D596B324FC2}" name="Line of Business Enrollment Category Code" dataDxfId="863"/>
    <tableColumn id="2" xr3:uid="{0575FBF3-F215-4580-B2A0-31EC56146BFB}" name="2021 Income from Fees of Uninsured Plans" dataDxfId="862" dataCellStyle="Currency"/>
    <tableColumn id="3" xr3:uid="{6A8BF38E-5520-4217-A62D-02713FA6EB24}" name="2022 Income from Fees of Uninsured Plans" dataDxfId="861" dataCellStyle="Currency"/>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76DD69FC-8F50-45BA-92E6-47CB9C6CDF0F}" name="StandDev2021" displayName="StandDev2021" ref="A10:E60" totalsRowShown="0" headerRowDxfId="860" dataDxfId="858" headerRowBorderDxfId="859" tableBorderDxfId="857" totalsRowBorderDxfId="856">
  <autoFilter ref="A10:E60" xr:uid="{F8ADE3CC-78B4-4C8B-BA53-2F852D150525}"/>
  <tableColumns count="5">
    <tableColumn id="1" xr3:uid="{56C488BB-4099-4398-88F0-424DC2A4FD55}" name="ACO/AE or Insurer Organization ID" dataDxfId="855"/>
    <tableColumn id="2" xr3:uid="{BD24902F-1357-440A-B65E-BA5DE2F75934}" name="Market" dataDxfId="854"/>
    <tableColumn id="3" xr3:uid="{A2A34312-638E-407E-BE81-2A1371A21203}" name="Member Months" dataDxfId="853"/>
    <tableColumn id="4" xr3:uid="{02854F97-6B3C-466A-8962-13A68AB4A3FA}" name="Total Truncated Spending" dataDxfId="852"/>
    <tableColumn id="5" xr3:uid="{47C48E09-92D3-4220-84E8-5E6DA25B84F7}" name="Standard Deviation PMPM" dataDxfId="851"/>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C5988C5F-509C-4DA3-9988-2504AF66E37B}" name="StandDev2022" displayName="StandDev2022" ref="A10:E60" totalsRowShown="0" headerRowDxfId="850" headerRowBorderDxfId="849" tableBorderDxfId="848" totalsRowBorderDxfId="847">
  <autoFilter ref="A10:E60" xr:uid="{F8ADE3CC-78B4-4C8B-BA53-2F852D150525}"/>
  <tableColumns count="5">
    <tableColumn id="1" xr3:uid="{BE44B972-5CBB-4ABA-B42A-E890217D26EC}" name="ACO/AE or Insurer Organization ID" dataDxfId="846"/>
    <tableColumn id="2" xr3:uid="{7F01B456-B959-4AA7-863D-B80015127D63}" name="Market" dataDxfId="845"/>
    <tableColumn id="3" xr3:uid="{A06EFBE4-54B2-45DB-8E6B-C04F2EF7486F}" name="Member Months" dataDxfId="844"/>
    <tableColumn id="4" xr3:uid="{5F48D58F-7121-4217-92D7-F53C5F8E8F55}" name="Total Truncated Spending" dataDxfId="843"/>
    <tableColumn id="5" xr3:uid="{B8069EA6-C1B2-485C-8AEF-EBBC7B9769EE}" name="Standard Deviation PMPM" dataDxfId="842"/>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849B598-3755-4A88-8BCF-34468FA376D8}" name="AgeSex21" displayName="AgeSex21" ref="A8:J1096" totalsRowShown="0" headerRowDxfId="841" dataDxfId="839" headerRowBorderDxfId="840" tableBorderDxfId="838" totalsRowBorderDxfId="837">
  <autoFilter ref="A8:J1096" xr:uid="{85EF8B10-39DA-405B-A077-F6D1025AED87}"/>
  <tableColumns count="10">
    <tableColumn id="1" xr3:uid="{2917DF6D-2734-4F93-9A09-6AFFA821D34E}" name="ACO/AE ID or Insurer Overall" dataDxfId="836"/>
    <tableColumn id="2" xr3:uid="{B39701FB-015D-49A9-B5A7-44CDDDF853FF}" name="Insurance Category Code" dataDxfId="835"/>
    <tableColumn id="3" xr3:uid="{8DAB09E5-EB8F-4DB3-A4D5-EFB5184F8BB9}" name="Age Band Code" dataDxfId="834"/>
    <tableColumn id="4" xr3:uid="{6A5189E4-F883-4A49-96CC-83CFEC54700F}" name="Sex Band Code" dataDxfId="833"/>
    <tableColumn id="5" xr3:uid="{4A9211FE-2AA4-4040-A365-03C510125066}" name="Total Member Months by Age/Sex Band" dataDxfId="832" dataCellStyle="Currency"/>
    <tableColumn id="6" xr3:uid="{4D24A2CC-A662-48E0-8CFE-D407CA3B8545}" name="Total Spending before Truncation is Applied" dataDxfId="831" dataCellStyle="Currency"/>
    <tableColumn id="7" xr3:uid="{E1D73E0E-C359-407E-95E2-A4AA1D717C7E}" name="Count of Members Whose Spending was Truncated" dataDxfId="830" dataCellStyle="Comma"/>
    <tableColumn id="8" xr3:uid="{FC5E8099-ED1C-4A81-85B6-A85918A14B87}" name="Total Spending After Applying Truncation at the Member Level" dataDxfId="829" dataCellStyle="Currency"/>
    <tableColumn id="9" xr3:uid="{FE7591EC-9681-4374-8F23-FE6B8935AE3E}" name="Total Dollars Excluded from Spending After Applying Truncation at the Member Level" dataDxfId="828" dataCellStyle="Currency"/>
    <tableColumn id="10" xr3:uid="{03BC420D-9D63-41E8-B8CC-84FDBAF2630A}" name="Truncated Spending + Dollars Excluded = Total Spending before Truncation is Applied? If not, what is the variation?" dataDxfId="827"/>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85EF8B10-39DA-405B-A077-F6D1025AED87}" name="AgeSex22" displayName="AgeSex22" ref="A8:J1096" totalsRowShown="0" headerRowDxfId="826" dataDxfId="824" headerRowBorderDxfId="825" tableBorderDxfId="823" totalsRowBorderDxfId="822" dataCellStyle="Currency">
  <autoFilter ref="A8:J1096" xr:uid="{85EF8B10-39DA-405B-A077-F6D1025AED87}"/>
  <tableColumns count="10">
    <tableColumn id="1" xr3:uid="{FC5ECB68-C3F8-4728-9C12-E7FAAAAF0CDD}" name="ACO/AE ID or Insurer Overall" dataDxfId="821"/>
    <tableColumn id="2" xr3:uid="{22173B73-7568-407F-8D4D-38D11D6590FD}" name="Insurance Category Code" dataDxfId="820"/>
    <tableColumn id="3" xr3:uid="{BBDDFEB8-0E4B-4AA3-A1E2-E774B70D6A27}" name="Age Band Code" dataDxfId="819"/>
    <tableColumn id="4" xr3:uid="{CC4DD762-B230-4936-9C29-130C183B69D4}" name="Sex Band Code" dataDxfId="818"/>
    <tableColumn id="5" xr3:uid="{FAC33CC9-04D2-4244-9E80-34D2AF696352}" name="Total Member Months by Age/Sex Band" dataDxfId="817" dataCellStyle="Currency"/>
    <tableColumn id="6" xr3:uid="{6C047D26-7FA6-4E9C-B754-6A1113788ED8}" name="Total Spending before Truncation is Applied" dataDxfId="816" dataCellStyle="Currency"/>
    <tableColumn id="7" xr3:uid="{72FE680E-AD12-4F0D-B877-655E6F8AEEAF}" name="Count of Members Whose Spending was Truncated" dataDxfId="815" dataCellStyle="Currency"/>
    <tableColumn id="8" xr3:uid="{5D673DA6-33C8-469E-8795-4CF5EEE26B61}" name="Total Spending After Applying Truncation at the Member Level" dataDxfId="814" dataCellStyle="Currency"/>
    <tableColumn id="9" xr3:uid="{F637AD5E-D8DD-4A03-BEB7-8F2FA788209E}" name="Total Dollars Excluded from Spending After Applying Truncation at the Member Level" dataDxfId="813" dataCellStyle="Currency"/>
    <tableColumn id="10" xr3:uid="{A6057E41-952D-499E-BF00-F8F3AF2C3A67}" name="Truncated Spending + Dollars Excluded = Total Spending before Truncation is Applied? If not, what is the variation?" dataDxfId="812" dataCellStyle="Currency"/>
  </tableColumns>
  <tableStyleInfo name="TableStyleMedium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6172A0C-3C63-4690-945A-C16BBDE6FA2D}" name="MMbyMkt" displayName="MMbyMkt" ref="B6:E18" totalsRowShown="0" headerRowDxfId="811" headerRowBorderDxfId="810" tableBorderDxfId="809" totalsRowBorderDxfId="808">
  <tableColumns count="4">
    <tableColumn id="1" xr3:uid="{CAB1A30A-CBDC-4D93-8F04-B49C3023267A}" name="Market" dataDxfId="807"/>
    <tableColumn id="2" xr3:uid="{9A2BCC8C-785F-435C-89DA-76838710D774}" name="2021" dataDxfId="806" dataCellStyle="Comma"/>
    <tableColumn id="3" xr3:uid="{99AE4CBD-0701-42E3-8DE0-407E24A37047}" name="2022" dataDxfId="805" dataCellStyle="Comma"/>
    <tableColumn id="4" xr3:uid="{AF6FCD5C-9880-41FD-8336-5E1724838940}" name="Trend" dataDxfId="804" dataCellStyle="Percent">
      <calculatedColumnFormula>IFERROR(MMbyMkt[[#This Row],[2022]]/MMbyMkt[[#This Row],[2021]]-1,"NA")</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3015B134-1CA5-4790-86DE-527AD391B1EC}" name="MandatoryQ" displayName="MandatoryQ" ref="A35:B67" totalsRowShown="0" headerRowDxfId="1051" dataDxfId="1049" headerRowBorderDxfId="1050" tableBorderDxfId="1048" totalsRowBorderDxfId="1047">
  <autoFilter ref="A35:B67" xr:uid="{11CE796F-1AAC-4465-9118-F59BD71D8CAD}"/>
  <tableColumns count="2">
    <tableColumn id="1" xr3:uid="{B14FCCB5-18C9-4C75-A044-107342A33DD7}" name="Question" dataDxfId="1046"/>
    <tableColumn id="2" xr3:uid="{2FAD2209-F2FC-425B-80C2-09630C12A4AA}" name="Expected Answer" dataDxfId="1045"/>
  </tableColumns>
  <tableStyleInfo name="TableStyleLight9"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2C8A7256-0E80-4D2C-AD8D-EC03D3C2CA56}" name="TMEbyMktNonTrunc" displayName="TMEbyMktNonTrunc" ref="B21:E33" totalsRowShown="0" headerRowDxfId="803" headerRowBorderDxfId="802" tableBorderDxfId="801" totalsRowBorderDxfId="800">
  <tableColumns count="4">
    <tableColumn id="1" xr3:uid="{56BBCCB1-8110-4050-AAF9-933E705C164C}" name="Market" dataDxfId="799"/>
    <tableColumn id="2" xr3:uid="{82EC0D24-10ED-4ED0-A1DC-7E48F84E3449}" name="2021" dataDxfId="798" dataCellStyle="Currency">
      <calculatedColumnFormula>SUMIF(#REF!,3,#REF!)</calculatedColumnFormula>
    </tableColumn>
    <tableColumn id="3" xr3:uid="{E8D5F693-8DE0-4A96-B243-AA1200C303F2}" name="2022" dataDxfId="797" dataCellStyle="Currency"/>
    <tableColumn id="4" xr3:uid="{6960313F-4182-4F50-90B0-0744CCA881B1}" name="Trend" dataDxfId="796" dataCellStyle="Percent">
      <calculatedColumnFormula>IFERROR(TMEbyMktNonTrunc[[#This Row],[2022]]/TMEbyMktNonTrunc[[#This Row],[2021]]-1,"NA")</calculatedColumnFormula>
    </tableColumn>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4B5ED463-693F-4F10-B465-E0C5109E788A}" name="ComTotTME" displayName="ComTotTME" ref="B52:E76" totalsRowShown="0" headerRowDxfId="795" dataDxfId="793" headerRowBorderDxfId="794" tableBorderDxfId="792" totalsRowBorderDxfId="791">
  <tableColumns count="4">
    <tableColumn id="1" xr3:uid="{B348ABA0-C8C5-42E8-BC53-D62A51A3AF16}" name="Service Category" dataDxfId="790"/>
    <tableColumn id="2" xr3:uid="{FB7E5D81-20D0-452D-B03E-06D70DB5ABEA}" name="2021" dataDxfId="789" dataCellStyle="Currency">
      <calculatedColumnFormula>(SUMPRODUCT(H54,H53)+SUMPRODUCT(M54,M53))/#REF!</calculatedColumnFormula>
    </tableColumn>
    <tableColumn id="3" xr3:uid="{0E3BBB76-216E-48FA-A593-B650038D3678}" name="2022" dataDxfId="788" dataCellStyle="Currency"/>
    <tableColumn id="4" xr3:uid="{423C9EC5-4CFB-4DA0-984D-6735D25A9DE0}" name="Trend" dataDxfId="787" dataCellStyle="Percent">
      <calculatedColumnFormula>IFERROR(ComTotTME[[#This Row],[2022]]/ComTotTME[[#This Row],[2021]]-1,"NA")</calculatedColumnFormula>
    </tableColumn>
  </tableColumns>
  <tableStyleInfo name="TableStyleMedium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2659A510-29DD-4A37-9E5F-6105D84A52DF}" name="ICC3TME" displayName="ICC3TME" ref="G52:J76" totalsRowShown="0" headerRowDxfId="786" headerRowBorderDxfId="785" tableBorderDxfId="784" totalsRowBorderDxfId="783">
  <tableColumns count="4">
    <tableColumn id="1" xr3:uid="{92D11A4B-3EFA-4CCA-883E-AA6D3A781F9C}" name="Service Category" dataDxfId="782"/>
    <tableColumn id="2" xr3:uid="{4BDA93A8-B318-43FF-8A89-0D3DAFF5F190}" name="2021" dataDxfId="781" dataCellStyle="Currency"/>
    <tableColumn id="3" xr3:uid="{1A7C560C-169B-4109-B45B-34AE45210E5B}" name="2022" dataDxfId="780" dataCellStyle="Currency"/>
    <tableColumn id="4" xr3:uid="{7C943E37-9C12-46F8-B639-081D5C290968}" name="Trend" dataDxfId="779" dataCellStyle="Percent">
      <calculatedColumnFormula>IFERROR(ICC3TME[[#This Row],[2022]]/ICC3TME[[#This Row],[2021]]-1,"NA")</calculatedColumnFormula>
    </tableColumn>
  </tableColumns>
  <tableStyleInfo name="TableStyleMedium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1BA709B4-3C8D-4EE0-84CC-799BDAEFC4BB}" name="ICC4TME" displayName="ICC4TME" ref="L52:O76" totalsRowShown="0" headerRowDxfId="778" dataDxfId="776" headerRowBorderDxfId="777" tableBorderDxfId="775" totalsRowBorderDxfId="774">
  <tableColumns count="4">
    <tableColumn id="1" xr3:uid="{732A6DF4-D9EA-4648-898C-23A3FF9E6AAD}" name="Service Category" dataDxfId="773"/>
    <tableColumn id="2" xr3:uid="{CBC7DA35-5E80-4F5B-A7FC-8E3F7B7B6F2A}" name="2021" dataDxfId="772" dataCellStyle="Currency"/>
    <tableColumn id="3" xr3:uid="{501C3263-A223-48F4-A389-FA9E43FA138C}" name="2022" dataDxfId="771" dataCellStyle="Currency"/>
    <tableColumn id="4" xr3:uid="{9A279DF3-2F19-4F43-B98A-5446978A8492}" name="Trend" dataDxfId="770" dataCellStyle="Percent">
      <calculatedColumnFormula>IFERROR(ICC4TME[[#This Row],[2022]]/ICC4TME[[#This Row],[2021]]-1,"NA")</calculatedColumnFormula>
    </tableColumn>
  </tableColumns>
  <tableStyleInfo name="TableStyleMedium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1A93DC7-D0F3-4C9A-A7F0-3805A4FF9DCD}" name="ICC2TME" displayName="ICC2TME" ref="G80:J104" totalsRowShown="0" headerRowDxfId="769" headerRowBorderDxfId="768" tableBorderDxfId="767" totalsRowBorderDxfId="766">
  <tableColumns count="4">
    <tableColumn id="1" xr3:uid="{C7121D99-40D7-4C23-B1CB-B23AA6B89AE4}" name="Service Category" dataDxfId="765"/>
    <tableColumn id="2" xr3:uid="{15B3F459-2262-46A8-A9B6-988DF98A95BB}" name="2021" dataDxfId="764" dataCellStyle="Currency"/>
    <tableColumn id="3" xr3:uid="{EDFA5FBC-E4EF-447A-86AF-D9C54E80A16A}" name="2022" dataDxfId="763" dataCellStyle="Currency"/>
    <tableColumn id="4" xr3:uid="{22C33D42-572F-4AEF-88DA-5E5632DEACF5}" name="Trend" dataDxfId="762" dataCellStyle="Percent">
      <calculatedColumnFormula>IFERROR(ICC2TME[[#This Row],[2022]]/ICC2TME[[#This Row],[2021]]-1,"NA")</calculatedColumnFormula>
    </tableColumn>
  </tableColumns>
  <tableStyleInfo name="TableStyleMedium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6CE3D4DF-8A44-4E98-88E2-655C90DD9DA4}" name="ICC6TME" displayName="ICC6TME" ref="L80:O104" totalsRowShown="0" headerRowDxfId="761" dataDxfId="759" headerRowBorderDxfId="760" tableBorderDxfId="758" totalsRowBorderDxfId="757">
  <tableColumns count="4">
    <tableColumn id="1" xr3:uid="{0A0D0934-E6D1-44CE-AB6F-F45DBD062E54}" name="Service Category" dataDxfId="756"/>
    <tableColumn id="2" xr3:uid="{587567AF-59CD-4148-B921-43288700C816}" name="2021" dataDxfId="755" dataCellStyle="Currency"/>
    <tableColumn id="3" xr3:uid="{2F02015E-8674-497A-B714-2F5ABF5F682F}" name="2022" dataDxfId="754" dataCellStyle="Currency"/>
    <tableColumn id="4" xr3:uid="{2E4EEA45-A6FA-491B-AF62-CB830D23AD2B}" name="Trend" dataDxfId="753" dataCellStyle="Percent">
      <calculatedColumnFormula>IFERROR(ICC6TME[[#This Row],[2022]]/ICC6TME[[#This Row],[2021]]-1,"NA")</calculatedColumnFormula>
    </tableColumn>
  </tableColumns>
  <tableStyleInfo name="TableStyleMedium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FFF164C-723F-44DD-9015-F75211FAACFA}" name="MCareTotTME" displayName="MCareTotTME" ref="B108:E132" totalsRowShown="0" headerRowDxfId="752" dataDxfId="750" headerRowBorderDxfId="751" tableBorderDxfId="749" totalsRowBorderDxfId="748">
  <tableColumns count="4">
    <tableColumn id="1" xr3:uid="{30D428FB-B795-4292-B18C-4DC498EA5C87}" name="Service Category" dataDxfId="747"/>
    <tableColumn id="2" xr3:uid="{E62FF8FC-A925-4D41-A6A1-3B630EE04B55}" name="2021" dataDxfId="746" dataCellStyle="Currency"/>
    <tableColumn id="3" xr3:uid="{D3910952-F591-42FB-AAAC-094189FAD29C}" name="2022" dataDxfId="745" dataCellStyle="Currency"/>
    <tableColumn id="4" xr3:uid="{E4E876DE-AAA6-45A0-BE88-AC3EB59A90E7}" name="Trend" dataDxfId="744" dataCellStyle="Percent">
      <calculatedColumnFormula>IFERROR(MCareTotTME[[#This Row],[2022]]/MCareTotTME[[#This Row],[2021]]-1,"NA")</calculatedColumnFormula>
    </tableColumn>
  </tableColumns>
  <tableStyleInfo name="TableStyleMedium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4D0A03A1-CFA0-4C01-81C9-AE71256C1C17}" name="ICC5TME" displayName="ICC5TME" ref="L108:O132" totalsRowShown="0" headerRowDxfId="743" dataDxfId="741" headerRowBorderDxfId="742" tableBorderDxfId="740" totalsRowBorderDxfId="739">
  <tableColumns count="4">
    <tableColumn id="1" xr3:uid="{AF6B2F6F-3A7A-47C9-ACF9-48C56D4825A6}" name="Service Category" dataDxfId="738"/>
    <tableColumn id="2" xr3:uid="{34515B40-A6F5-49C7-A3E0-B3D2C5727E4A}" name="2021" dataDxfId="737" dataCellStyle="Currency"/>
    <tableColumn id="3" xr3:uid="{DBC366C5-B664-406F-AE38-AC934FF6C01B}" name="2022" dataDxfId="736" dataCellStyle="Currency"/>
    <tableColumn id="4" xr3:uid="{9E812AA8-B0EB-4DFC-B22B-633BC961FE67}" name="Trend" dataDxfId="735" dataCellStyle="Percent">
      <calculatedColumnFormula>IFERROR(ICC5TME[[#This Row],[2022]]/ICC5TME[[#This Row],[2021]]-1,"NA")</calculatedColumnFormula>
    </tableColumn>
  </tableColumns>
  <tableStyleInfo name="TableStyleMedium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15F10042-BBB5-4666-936C-12EC2F56B95D}" name="ICC7TME" displayName="ICC7TME" ref="B136:E160" totalsRowShown="0" headerRowDxfId="734" dataDxfId="732" headerRowBorderDxfId="733" tableBorderDxfId="731" totalsRowBorderDxfId="730">
  <tableColumns count="4">
    <tableColumn id="1" xr3:uid="{73D42A39-F193-40EB-8DF9-71890F04C71E}" name="Service Category" dataDxfId="729"/>
    <tableColumn id="2" xr3:uid="{939A3624-7257-48F5-B3CC-37046FC7F5E0}" name="2021" dataDxfId="728" dataCellStyle="Currency"/>
    <tableColumn id="3" xr3:uid="{AEDF9181-F20F-4FBE-9720-F3E955B4BB91}" name="2022" dataDxfId="727" dataCellStyle="Currency"/>
    <tableColumn id="4" xr3:uid="{C0363111-64B9-442D-86CF-F6CE9F82621C}" name="Trend" dataDxfId="726" dataCellStyle="Percent">
      <calculatedColumnFormula>IFERROR(ICC7TME[[#This Row],[2022]]/ICC7TME[[#This Row],[2021]]-1,"NA")</calculatedColumnFormula>
    </tableColumn>
  </tableColumns>
  <tableStyleInfo name="TableStyleMedium2"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194B868E-1F9C-4D33-9159-115CDB8DB970}" name="TMEPMPMbyMkt" displayName="TMEPMPMbyMkt" ref="G21:J33" totalsRowShown="0" headerRowDxfId="725" headerRowBorderDxfId="724" tableBorderDxfId="723" totalsRowBorderDxfId="722">
  <tableColumns count="4">
    <tableColumn id="1" xr3:uid="{9C52447F-A510-4FEA-8594-4B07B64E9FD0}" name="Market"/>
    <tableColumn id="2" xr3:uid="{0BDDE340-77B2-4F29-A286-A72BACFA289D}" name="2021" dataDxfId="721" dataCellStyle="Currency">
      <calculatedColumnFormula>IFERROR(TMEbyMktNonTrunc[[#This Row],[2021]]/C7,"NA")</calculatedColumnFormula>
    </tableColumn>
    <tableColumn id="3" xr3:uid="{7C1E30EF-0840-4847-8D32-9C50BA468E97}" name="2022" dataDxfId="720" dataCellStyle="Currency">
      <calculatedColumnFormula>IFERROR(TMEbyMktNonTrunc[[#This Row],[2022]]/D7,"NA")</calculatedColumnFormula>
    </tableColumn>
    <tableColumn id="4" xr3:uid="{7DD33230-EF6C-4443-9072-0B7E889902BB}" name="Trend" dataDxfId="719" dataCellStyle="Percent">
      <calculatedColumnFormula>IFERROR(TMEPMPMbyMkt[[#This Row],[2022]]/TMEPMPMbyMkt[[#This Row],[2021]]-1,"NA")</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CE10DF3-FCFE-4974-B59F-E0CBBEA63C49}" name="PublicData21" displayName="PublicData21" ref="A12:J17" totalsRowShown="0" headerRowDxfId="1044" dataDxfId="1042" headerRowBorderDxfId="1043" tableBorderDxfId="1041" totalsRowBorderDxfId="1040">
  <tableColumns count="10">
    <tableColumn id="1" xr3:uid="{9901A76F-BC77-4C4F-ADCA-0E854DCF5367}" name="2021 Public Data" dataDxfId="1039"/>
    <tableColumn id="2" xr3:uid="{6D8AEC97-D63E-42A5-A17E-008DCFFC93F5}" name="Medicare Managed Care Enrollment by State/County/Contract _x000a_X 12" dataDxfId="1038" dataCellStyle="Currency"/>
    <tableColumn id="3" xr3:uid="{280CD136-DC76-4C53-9BBB-2CC512FD0C1F}" name="Medicaid Managed Care Member Months Health Annual Statement (HAS) - from Chaz" dataDxfId="1037" dataCellStyle="Currency"/>
    <tableColumn id="4" xr3:uid="{F2055274-B099-41FC-927D-839788BB1569}" name="Medicaid Managed Care Unadjusted Claims TME Health Annual Statement (HAS) - from Chaz" dataDxfId="1036" dataCellStyle="Currency"/>
    <tableColumn id="9" xr3:uid="{80F28A30-44D0-42A5-81D4-CF878B6BEF18}" name="Individual Commercial Member Months from the Supplemental Health Care Exhibit (SHCE)" dataDxfId="1035" dataCellStyle="Currency"/>
    <tableColumn id="7" xr3:uid="{70E307CA-F103-49A7-8FD9-97D7A1CF2825}" name="Small Group Commercial Member Months from the Supplemental Health Care Exhibit (SHCE)" dataDxfId="1034" dataCellStyle="Currency"/>
    <tableColumn id="6" xr3:uid="{3F55367C-1664-4C0C-B7B5-669EC1088724}" name="Large Group Commercial Member Months from the Supplemental Health Care Exhibit (SHCE)" dataDxfId="1033" dataCellStyle="Currency"/>
    <tableColumn id="10" xr3:uid="{1793E95F-81BB-4516-9223-77727275260A}" name="Self-Insured Commercial Member Months from the Supplemental Health Care Exhibit (SHCE)" dataDxfId="1032" dataCellStyle="Currency"/>
    <tableColumn id="8" xr3:uid="{A7881F4F-DA79-4AD5-BCAC-78662CE78E10}" name="Medicare Managed Care  + Medicare Duals Member Months from the Supplemental Health Care Exhibit (SHCE)" dataDxfId="1031" dataCellStyle="Currency"/>
    <tableColumn id="5" xr3:uid="{DC27F5E1-A93F-412E-8233-AF04C155E2AC}" name="Medicaid/CHIP Managed Care + Duals Member Months from the Supplemental Health Care Exhibit (SHCE)" dataDxfId="1030" dataCellStyle="Currency"/>
  </tableColumns>
  <tableStyleInfo name="TableStyleLight9"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86BDBF44-B372-4D9D-8FA0-88BF6922F0C6}" name="TMEbyMktTrunc" displayName="TMEbyMktTrunc" ref="B36:E48" totalsRowShown="0" headerRowDxfId="718" headerRowBorderDxfId="717" tableBorderDxfId="716" totalsRowBorderDxfId="715">
  <tableColumns count="4">
    <tableColumn id="1" xr3:uid="{0B7112A5-2C0E-4822-ABE0-CA456A8B637A}" name="Market" dataDxfId="714"/>
    <tableColumn id="2" xr3:uid="{A6D18DE9-7A89-4970-909E-E37F55595CC1}" name="2021" dataDxfId="713" dataCellStyle="Currency">
      <calculatedColumnFormula>SUMIF(#REF!,3,#REF!)</calculatedColumnFormula>
    </tableColumn>
    <tableColumn id="3" xr3:uid="{71ACB1C6-C9C8-4469-9050-0AC82EF20AB9}" name="2022" dataDxfId="712" dataCellStyle="Currency"/>
    <tableColumn id="4" xr3:uid="{0F8FA61E-7569-400F-8661-B978FF64B7B2}" name="Trend" dataDxfId="711" dataCellStyle="Percent">
      <calculatedColumnFormula>IFERROR(TMEbyMktTrunc[[#This Row],[2022]]/TMEbyMktTrunc[[#This Row],[2021]]-1,"NA")</calculatedColumnFormula>
    </tableColumn>
  </tableColumns>
  <tableStyleInfo name="TableStyleMedium2"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7AD0A186-11D7-4298-B7B9-F58F287386AE}" name="RATMEPMPMbyMkt" displayName="RATMEPMPMbyMkt" ref="G36:J48" totalsRowShown="0" headerRowDxfId="710" headerRowBorderDxfId="709" tableBorderDxfId="708" totalsRowBorderDxfId="707">
  <tableColumns count="4">
    <tableColumn id="1" xr3:uid="{F6B043E4-AF21-4F40-A072-B38C904AD482}" name="Market"/>
    <tableColumn id="2" xr3:uid="{9EB4660E-8122-4910-B94C-97DB77A8E058}" name="2021" dataDxfId="706" dataCellStyle="Currency">
      <calculatedColumnFormula>IFERROR(TMEbyMktTrunc[[#This Row],[2021]]/C7,"NA")</calculatedColumnFormula>
    </tableColumn>
    <tableColumn id="3" xr3:uid="{526C619F-B707-4F4B-9C37-6CD58C72AC76}" name="2022" dataDxfId="705" dataCellStyle="Currency">
      <calculatedColumnFormula>IFERROR(TMEbyMktTrunc[[#This Row],[2022]]/D7,"NA")</calculatedColumnFormula>
    </tableColumn>
    <tableColumn id="4" xr3:uid="{5E94632C-37E7-422F-BF73-F0D4BB766BCB}" name="Trend" dataDxfId="704" dataCellStyle="Percent">
      <calculatedColumnFormula>IFERROR(RATMEPMPMbyMkt[[#This Row],[2022]]/RATMEPMPMbyMkt[[#This Row],[2021]]-1,"NA")</calculatedColumnFormula>
    </tableColumn>
  </tableColumns>
  <tableStyleInfo name="TableStyleMedium2"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4BA9AD43-DFDE-429A-A388-7E024BB5AE86}" name="MAidTotTME" displayName="MAidTotTME" ref="B80:E104" totalsRowShown="0" headerRowDxfId="703" dataDxfId="701" headerRowBorderDxfId="702" tableBorderDxfId="700" totalsRowBorderDxfId="699">
  <tableColumns count="4">
    <tableColumn id="1" xr3:uid="{E9131C0C-9C8F-43EC-872E-03ED21220DFD}" name="Service Category" dataDxfId="698"/>
    <tableColumn id="2" xr3:uid="{445EB68C-8601-4DE7-8A89-F39064024D3B}" name="2021" dataDxfId="697" dataCellStyle="Currency"/>
    <tableColumn id="3" xr3:uid="{AD82B5DC-FDF3-45FF-8347-2D9D5F9D0BF9}" name="2022" dataDxfId="696" dataCellStyle="Currency"/>
    <tableColumn id="4" xr3:uid="{70D37E48-EA7A-4F37-846D-0FCA225B41EE}" name="Trend" dataDxfId="695" dataCellStyle="Percent">
      <calculatedColumnFormula>IFERROR(MAidTotTME[[#This Row],[2022]]/MAidTotTME[[#This Row],[2021]]-1,"NA")</calculatedColumnFormula>
    </tableColumn>
  </tableColumns>
  <tableStyleInfo name="TableStyleMedium2"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D2ABFE95-8D93-4E25-AB66-059FBEA398DA}" name="ICC1TME" displayName="ICC1TME" ref="G108:J132" totalsRowShown="0" headerRowDxfId="694" dataDxfId="692" headerRowBorderDxfId="693" tableBorderDxfId="691" totalsRowBorderDxfId="690">
  <tableColumns count="4">
    <tableColumn id="1" xr3:uid="{80BB2C78-DBB7-4089-B5A1-489BD32B1F18}" name="Service Category" dataDxfId="689"/>
    <tableColumn id="2" xr3:uid="{BD803370-EC85-4EE0-87E6-6481295212A9}" name="2021" dataDxfId="688" dataCellStyle="Currency"/>
    <tableColumn id="3" xr3:uid="{E7107820-4126-4CBE-985E-1302B550A794}" name="2022" dataDxfId="687" dataCellStyle="Currency"/>
    <tableColumn id="4" xr3:uid="{810389FA-6434-4F8A-B727-43FF8E7C3CAB}" name="Trend" dataDxfId="686" dataCellStyle="Percent">
      <calculatedColumnFormula>IFERROR(ICC1TME[[#This Row],[2022]]/ICC1TME[[#This Row],[2021]]-1,"NA")</calculatedColumnFormula>
    </tableColumn>
  </tableColumns>
  <tableStyleInfo name="TableStyleMedium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DDA1AAC-7DA6-4005-8240-15413892E8BE}" name="ValbyACO_COM" displayName="ValbyACO_COM" ref="B7:AS18" totalsRowShown="0" headerRowDxfId="685" dataDxfId="683" headerRowBorderDxfId="684" tableBorderDxfId="682" totalsRowBorderDxfId="681" dataCellStyle="Percent">
  <tableColumns count="44">
    <tableColumn id="1" xr3:uid="{BC39A50A-86A2-41AA-A1B2-7F864A7128B6}" name="Org ID" dataDxfId="680"/>
    <tableColumn id="2" xr3:uid="{7E537407-9D82-4BE2-AB6C-08EBA4B586DF}" name="ACO/AE Name" dataDxfId="679"/>
    <tableColumn id="3" xr3:uid="{996150D9-5C71-4502-B126-232A09F6692C}" name="2021 Member Months (sum of ICC3 + 4)" dataDxfId="678" dataCellStyle="Comma"/>
    <tableColumn id="4" xr3:uid="{A1D0FFAC-61F2-448E-970F-01E5ED012F1B}" name="2021 Claims: Hospital Inpatient" dataDxfId="677" dataCellStyle="Currency">
      <calculatedColumnFormula>IF(D8=0,"NA",(SUMPRODUCT(E22,D22)+SUMPRODUCT(E36,D36))/D8)</calculatedColumnFormula>
    </tableColumn>
    <tableColumn id="5" xr3:uid="{0D48D521-1796-4450-9CFA-B9B867409BF4}" name="2021 Claims: Hospital Outpatient" dataDxfId="676" dataCellStyle="Currency">
      <calculatedColumnFormula>IF(D8=0,"NA",(SUMPRODUCT(F22,D22)+SUMPRODUCT(F36,D36))/D8)</calculatedColumnFormula>
    </tableColumn>
    <tableColumn id="6" xr3:uid="{00E92D1C-DB87-4C55-B5BC-AE385915D7AA}" name="2021 Claims: Professional, Primary Care" dataDxfId="675" dataCellStyle="Currency">
      <calculatedColumnFormula>IF(D8=0,"NA",(SUMPRODUCT(G22,D22)+SUMPRODUCT(G36,D36))/D8)</calculatedColumnFormula>
    </tableColumn>
    <tableColumn id="7" xr3:uid="{7238C7A8-0C84-4FED-B746-9E17F8C4ED2D}" name="2021 Claims: Professional, Specialty Care" dataDxfId="674" dataCellStyle="Currency">
      <calculatedColumnFormula>IF(D8=0,"NA",(SUMPRODUCT(H22,D22)+SUMPRODUCT(H36,D36))/D8)</calculatedColumnFormula>
    </tableColumn>
    <tableColumn id="8" xr3:uid="{198E69E7-CAEB-41B9-826C-D305F554403D}" name="2021 Claims: Professional Other" dataDxfId="673" dataCellStyle="Currency">
      <calculatedColumnFormula>IF(D8=0,"NA",(SUMPRODUCT(I22,D22)+SUMPRODUCT(I36,D36))/D8)</calculatedColumnFormula>
    </tableColumn>
    <tableColumn id="9" xr3:uid="{CE1D295C-73E6-411D-BE0E-A985C8463F48}" name="2021 Claims: Pharmacy (Gross of  Rebates)" dataDxfId="672" dataCellStyle="Currency">
      <calculatedColumnFormula>IF(D8=0,"NA",(SUMPRODUCT(J22,D22)+SUMPRODUCT(J36,D36))/D8)</calculatedColumnFormula>
    </tableColumn>
    <tableColumn id="10" xr3:uid="{C7862B09-EA33-4D82-9DCB-5BFEA05A5678}" name="2021 Claims: Long-term Care" dataDxfId="671" dataCellStyle="Currency">
      <calculatedColumnFormula>IF(D8=0,"NA",(SUMPRODUCT(K22,D22)+SUMPRODUCT(K36,D36))/D8)</calculatedColumnFormula>
    </tableColumn>
    <tableColumn id="11" xr3:uid="{4879A7A2-1753-4ED7-A50A-C2E78E062695}" name="2021 Claims: Other" dataDxfId="670" dataCellStyle="Currency">
      <calculatedColumnFormula>IF(D8=0,"NA",(SUMPRODUCT(L22,D22)+SUMPRODUCT(L36,D36))/D8)</calculatedColumnFormula>
    </tableColumn>
    <tableColumn id="12" xr3:uid="{86F39C38-1F5F-4205-9455-C51CE291A340}" name="2021 TOTAL Non-Truncated Claims Expenses" dataDxfId="669" dataCellStyle="Currency">
      <calculatedColumnFormula>IF(D8=0,"NA",(SUMPRODUCT(M22,D22)+SUMPRODUCT(M36,D36))/D8)</calculatedColumnFormula>
    </tableColumn>
    <tableColumn id="13" xr3:uid="{59A605C8-A24E-4168-A27B-8655DA1B0C5A}" name="2021 TOTAL Truncated Claims Expenses" dataDxfId="668" dataCellStyle="Currency">
      <calculatedColumnFormula>IF(D8=0,"NA",(SUMPRODUCT(N22,D22)+SUMPRODUCT(N36,D36))/D8)</calculatedColumnFormula>
    </tableColumn>
    <tableColumn id="14" xr3:uid="{65B2C047-B064-4725-8D6F-C41CAFF8836A}" name="2021 TOTAL Non-Claims Expenses" dataDxfId="667" dataCellStyle="Currency">
      <calculatedColumnFormula>IF(D8=0,"NA",(SUMPRODUCT(O22,D22)+SUMPRODUCT(O36,D36))/D8)</calculatedColumnFormula>
    </tableColumn>
    <tableColumn id="15" xr3:uid="{DB20AC46-BC8E-4692-B268-C2318E5F542D}" name="2021 TOTAL Non-Truncated Total Expenses" dataDxfId="666" dataCellStyle="Currency">
      <calculatedColumnFormula>IF(D8=0,"NA",(SUMPRODUCT(P22,D22)+SUMPRODUCT(P36,D36))/D8)</calculatedColumnFormula>
    </tableColumn>
    <tableColumn id="16" xr3:uid="{835ABF32-6584-4F79-9ED0-4D13A4D27B4D}" name="2021 TOTAL Truncated Total Expenses" dataDxfId="665" dataCellStyle="Currency">
      <calculatedColumnFormula>IF(D8=0,"NA",(SUMPRODUCT(Q22,D22)+SUMPRODUCT(Q36,D36))/D8)</calculatedColumnFormula>
    </tableColumn>
    <tableColumn id="17" xr3:uid="{C78870FF-89F8-42B8-A0D3-450C7EC875F8}" name="2022 Member Months (sum of ICC3 + 4)" dataDxfId="664" dataCellStyle="Comma"/>
    <tableColumn id="18" xr3:uid="{69C49A6E-EDBE-42FD-9417-80D0DBA96AD6}" name="2022 Claims: Hospital Inpatient" dataDxfId="663" dataCellStyle="Currency">
      <calculatedColumnFormula>IF(R8=0,"NA",(SUMPRODUCT(S22,R22)+SUMPRODUCT(S36,R36))/R8)</calculatedColumnFormula>
    </tableColumn>
    <tableColumn id="19" xr3:uid="{8AEEC9D3-62DF-4672-83FD-74A48AA94F67}" name="2022 Claims: Hospital Outpatient" dataDxfId="662" dataCellStyle="Currency">
      <calculatedColumnFormula>IF(R8=0,"NA",(SUMPRODUCT(T22,R22)+SUMPRODUCT(T36,R36))/R8)</calculatedColumnFormula>
    </tableColumn>
    <tableColumn id="20" xr3:uid="{6E112240-54D9-4CB8-879C-CCC9107D2FCE}" name="2022 Claims: Professional, Primary Care" dataDxfId="661" dataCellStyle="Currency">
      <calculatedColumnFormula>IF(R8=0,"NA",(SUMPRODUCT(U22,R22)+SUMPRODUCT(U36,R36))/R8)</calculatedColumnFormula>
    </tableColumn>
    <tableColumn id="21" xr3:uid="{72FBA440-ED33-4196-8C24-2F3E3F07D2D6}" name="2022 Claims: Professional, Specialty Care" dataDxfId="660" dataCellStyle="Currency">
      <calculatedColumnFormula>IF(R8=0,"NA",(SUMPRODUCT(V22,R22)+SUMPRODUCT(V36,R36))/R8)</calculatedColumnFormula>
    </tableColumn>
    <tableColumn id="22" xr3:uid="{3C17C909-4941-46AF-BE15-2384B3BDABEF}" name="2022 Claims: Professional Other" dataDxfId="659" dataCellStyle="Currency">
      <calculatedColumnFormula>IF(R8=0,"NA",(SUMPRODUCT(W22,R22)+SUMPRODUCT(W36,R36))/R8)</calculatedColumnFormula>
    </tableColumn>
    <tableColumn id="23" xr3:uid="{C5EC8B8C-8368-4D7C-8E88-4C2D4B155AB4}" name="2022 Claims: Pharmacy (Gross of Retail Pharmacy Rebates)" dataDxfId="658" dataCellStyle="Currency">
      <calculatedColumnFormula>IF(R8=0,"NA",(SUMPRODUCT(X22,R22)+SUMPRODUCT(X36,R36))/R8)</calculatedColumnFormula>
    </tableColumn>
    <tableColumn id="24" xr3:uid="{561DADEC-D561-4212-8B63-D1499694904E}" name="2022 Claims: Long-term Care" dataDxfId="657" dataCellStyle="Currency">
      <calculatedColumnFormula>IF(R8=0,"NA",(SUMPRODUCT(Y22,R22)+SUMPRODUCT(Y36,R36))/R8)</calculatedColumnFormula>
    </tableColumn>
    <tableColumn id="25" xr3:uid="{3AB9C1F3-BFF2-45EA-B304-884314AC1C32}" name="2022 Claims: Other" dataDxfId="656" dataCellStyle="Currency">
      <calculatedColumnFormula>IF(R8=0,"NA",(SUMPRODUCT(Z22,R22)+SUMPRODUCT(Z36,R36))/R8)</calculatedColumnFormula>
    </tableColumn>
    <tableColumn id="26" xr3:uid="{DA840B5B-74E9-4C22-8730-709FC4538D09}" name="2022 TOTAL Non-Truncated Claims Expenses" dataDxfId="655" dataCellStyle="Currency">
      <calculatedColumnFormula>IF(R8=0,"NA",(SUMPRODUCT(AA22,R22)+SUMPRODUCT(AA36,R36))/R8)</calculatedColumnFormula>
    </tableColumn>
    <tableColumn id="27" xr3:uid="{AA872398-C190-4DDF-8356-1F24ECCD135F}" name="2022 TOTAL Truncated Claims Expenses" dataDxfId="654" dataCellStyle="Currency">
      <calculatedColumnFormula>IF(R8=0,"NA",(SUMPRODUCT(AB22,R22)+SUMPRODUCT(AB36,R36))/R8)</calculatedColumnFormula>
    </tableColumn>
    <tableColumn id="28" xr3:uid="{D413056D-42DB-4D90-9325-AD54A25FDE28}" name="2022 TOTAL Non-Claims Expenses" dataDxfId="653" dataCellStyle="Currency">
      <calculatedColumnFormula>IF(R8=0,"NA",(SUMPRODUCT(AC22,R22)+SUMPRODUCT(AC36,R36))/R8)</calculatedColumnFormula>
    </tableColumn>
    <tableColumn id="29" xr3:uid="{6710C2A0-20B7-45EA-AD80-F2ABF64F3C0F}" name="2022 TOTAL Non-Truncated Total Expenses" dataDxfId="652" dataCellStyle="Currency">
      <calculatedColumnFormula>IF(R8=0,"NA",(SUMPRODUCT(AD22,R22)+SUMPRODUCT(AD36,R36))/R8)</calculatedColumnFormula>
    </tableColumn>
    <tableColumn id="30" xr3:uid="{9B54B4E8-9028-4CC2-8E41-8A6EC8568760}" name="2022 TOTAL Truncated Total Expenses" dataDxfId="651" dataCellStyle="Currency">
      <calculatedColumnFormula>IF(R8=0,"NA",(SUMPRODUCT(AE22,R22)+SUMPRODUCT(AE36,R36))/R8)</calculatedColumnFormula>
    </tableColumn>
    <tableColumn id="31" xr3:uid="{B84C5F47-EA3B-4D26-8DE9-06E0E9DC6786}" name="Member Months Trend" dataDxfId="650" dataCellStyle="Percent">
      <calculatedColumnFormula>IFERROR(IF($D8=0,"NA",R8/D8-1),"NA")</calculatedColumnFormula>
    </tableColumn>
    <tableColumn id="32" xr3:uid="{549214B6-E37D-4FEC-A39B-5428896EFEB1}" name="Claims: Hospital Inpatient Trend" dataDxfId="649" dataCellStyle="Percent">
      <calculatedColumnFormula>IFERROR(IF($D8=0,"NA",S8/E8-1),"NA")</calculatedColumnFormula>
    </tableColumn>
    <tableColumn id="33" xr3:uid="{2C65CB38-50E2-498D-91BA-E53B5F89EABD}" name="Claims: Hospital Outpatient Trend" dataDxfId="648" dataCellStyle="Percent">
      <calculatedColumnFormula>IFERROR(IF($D8=0,"NA",T8/F8-1),"NA")</calculatedColumnFormula>
    </tableColumn>
    <tableColumn id="34" xr3:uid="{31E8D9A7-A856-4B2F-B21B-D6820BE52ACF}" name="Claims: Professional, Primary Care Trend" dataDxfId="647" dataCellStyle="Percent">
      <calculatedColumnFormula>IFERROR(IF($D8=0,"NA",U8/G8-1),"NA")</calculatedColumnFormula>
    </tableColumn>
    <tableColumn id="35" xr3:uid="{0107F782-466D-434B-AAE3-1A2DD25CFD3D}" name="Claims: Professional, Specialty Care Trend" dataDxfId="646" dataCellStyle="Percent">
      <calculatedColumnFormula>IFERROR(IF($D8=0,"NA",V8/H8-1),"NA")</calculatedColumnFormula>
    </tableColumn>
    <tableColumn id="36" xr3:uid="{E3A86E80-654E-476E-8D66-51ADFEDCD54E}" name="Claims: Professional Other Trend" dataDxfId="645" dataCellStyle="Percent">
      <calculatedColumnFormula>IFERROR(IF($D8=0,"NA",W8/I8-1),"NA")</calculatedColumnFormula>
    </tableColumn>
    <tableColumn id="37" xr3:uid="{D352B3B4-E7DF-44DD-A588-6F9BF6C2AB2A}" name="Claims: Pharmacy (Gross of Rebates) Trend" dataDxfId="644" dataCellStyle="Percent">
      <calculatedColumnFormula>IFERROR(IF($D8=0,"NA",X8/J8-1),"NA")</calculatedColumnFormula>
    </tableColumn>
    <tableColumn id="38" xr3:uid="{82508C8F-B60A-47E9-B20D-D368B1CCD757}" name="Claims: Long-term Care  Trend" dataDxfId="643" dataCellStyle="Percent">
      <calculatedColumnFormula>IFERROR(IF($D8=0,"NA",Y8/K8-1),"NA")</calculatedColumnFormula>
    </tableColumn>
    <tableColumn id="39" xr3:uid="{8C548E94-32C5-484C-A685-BDB472334537}" name="Claims: Other Trend" dataDxfId="642" dataCellStyle="Percent">
      <calculatedColumnFormula>IFERROR(IF($D8=0,"NA",Z8/L8-1),"NA")</calculatedColumnFormula>
    </tableColumn>
    <tableColumn id="40" xr3:uid="{5E66C05E-D5DC-4B69-BC9C-82D982808AB4}" name="TOTAL Non-Truncated Claims Expenses Trend" dataDxfId="641" dataCellStyle="Percent">
      <calculatedColumnFormula>IFERROR(IF($D8=0,"NA",AA8/M8-1),"NA")</calculatedColumnFormula>
    </tableColumn>
    <tableColumn id="41" xr3:uid="{02D7E78D-C54C-4F9A-BA88-99389B7C376D}" name="TOTAL Truncated Claims Expenses  Trend" dataDxfId="640" dataCellStyle="Percent">
      <calculatedColumnFormula>IFERROR(IF($D8=0,"NA",AB8/N8-1),"NA")</calculatedColumnFormula>
    </tableColumn>
    <tableColumn id="42" xr3:uid="{4F031E28-767B-4FBF-9826-2E374C7CC625}" name="TOTAL Non-Claims Expenses Trend" dataDxfId="639" dataCellStyle="Percent">
      <calculatedColumnFormula>IFERROR(IF($D8=0,"NA",AC8/O8-1),"NA")</calculatedColumnFormula>
    </tableColumn>
    <tableColumn id="43" xr3:uid="{8BD753B7-E510-4087-87F9-BA6F2C661BDD}" name="TOTAL Non-Truncated Total Expenses Trend" dataDxfId="638" dataCellStyle="Percent">
      <calculatedColumnFormula>IFERROR(IF($D8=0,"NA",AD8/P8-1),"NA")</calculatedColumnFormula>
    </tableColumn>
    <tableColumn id="44" xr3:uid="{29D0F506-E52A-42F1-9A43-E2DA743486A0}" name="TOTAL Truncated Total Expenses Trend" dataDxfId="637" dataCellStyle="Percent">
      <calculatedColumnFormula>IFERROR(IF($D8=0,"NA",AE8/Q8-1),"NA")</calculatedColumnFormula>
    </tableColumn>
  </tableColumns>
  <tableStyleInfo name="TableStyleLight9"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A55CE20D-3DC0-4A3C-ADA0-27FE5D5340E2}" name="ValbyACO_ICC3" displayName="ValbyACO_ICC3" ref="B21:AS32" totalsRowShown="0" headerRowDxfId="636" dataDxfId="634" headerRowBorderDxfId="635" tableBorderDxfId="633" totalsRowBorderDxfId="632" dataCellStyle="Percent">
  <tableColumns count="44">
    <tableColumn id="1" xr3:uid="{153FF666-D075-4C77-99A3-E3284CDF043D}" name="Org ID" dataDxfId="631"/>
    <tableColumn id="2" xr3:uid="{E0E9EFD1-9792-4E93-966F-2242F3AC33C6}" name="ACO/AE Name" dataDxfId="630"/>
    <tableColumn id="3" xr3:uid="{D6ED33AD-5DDC-4706-941F-C32D1B2D02AD}" name="2021 Member Months" dataDxfId="629" dataCellStyle="Comma"/>
    <tableColumn id="4" xr3:uid="{282AE498-B6B6-4302-B366-B821C2AFF172}" name="2021 Claims: Hospital Inpatient" dataDxfId="628" dataCellStyle="Currency"/>
    <tableColumn id="5" xr3:uid="{180B1E9A-9D3D-4043-9F7C-D77DDB635E45}" name="2021 Claims: Hospital Outpatient" dataDxfId="627" dataCellStyle="Currency"/>
    <tableColumn id="6" xr3:uid="{E402AE9C-6A08-4989-A62E-611D917A69FA}" name="2021 Claims: Professional, Primary Care" dataDxfId="626" dataCellStyle="Currency"/>
    <tableColumn id="7" xr3:uid="{198EF295-885D-4D63-890F-485A8CDB0F82}" name="2021 Claims: Professional, Specialty Care" dataDxfId="625" dataCellStyle="Currency"/>
    <tableColumn id="8" xr3:uid="{70A87CFD-A9AC-4373-ACDE-2597021424C7}" name="2021 Claims: Professional Other" dataDxfId="624" dataCellStyle="Currency"/>
    <tableColumn id="9" xr3:uid="{DD5070BA-38E8-4C64-A70B-F61DEECFFE9E}" name="2021 Claims: Pharmacy (Gross of  Rebates)" dataDxfId="623" dataCellStyle="Currency"/>
    <tableColumn id="10" xr3:uid="{6BACFA98-261D-4212-8ECD-38797B631542}" name="2021 Claims: Long-term Care" dataDxfId="622" dataCellStyle="Currency"/>
    <tableColumn id="11" xr3:uid="{37B4722E-4542-47F2-8E2D-3769CD2EBC88}" name="2021 Claims: Other" dataDxfId="621" dataCellStyle="Currency"/>
    <tableColumn id="12" xr3:uid="{104D398E-CC30-4F68-8939-D24851E8BBE5}" name="2021 TOTAL Non-Truncated Claims Expenses" dataDxfId="620" dataCellStyle="Currency"/>
    <tableColumn id="13" xr3:uid="{553483BA-D59A-436A-AF00-4E4607215077}" name="2021 TOTAL Truncated Claims Expenses" dataDxfId="619" dataCellStyle="Currency"/>
    <tableColumn id="14" xr3:uid="{8D0D017F-375B-4143-8ED7-1FF22E5173FE}" name="2021 TOTAL Non-Claims Expenses" dataDxfId="618" dataCellStyle="Currency"/>
    <tableColumn id="15" xr3:uid="{31F31A02-8449-4C3B-BAFE-FCCB9E835423}" name="2021 TOTAL Non-Truncated Total Expenses" dataDxfId="617" dataCellStyle="Currency"/>
    <tableColumn id="16" xr3:uid="{CDBA1683-2503-450C-8E5F-5B601CAC2C6F}" name="2021 TOTAL Truncated Total Expenses" dataDxfId="616" dataCellStyle="Currency"/>
    <tableColumn id="17" xr3:uid="{B8C2E0EB-722D-4CB3-9253-1879B51FF4FE}" name="2022 Member Months" dataDxfId="615" dataCellStyle="Comma"/>
    <tableColumn id="18" xr3:uid="{2B5A72F6-96EF-47A5-9723-B2184EC06E50}" name="2022 Claims: Hospital Inpatient" dataDxfId="614" dataCellStyle="Currency"/>
    <tableColumn id="19" xr3:uid="{D58F2F75-08C7-4244-85D0-9911DBC60DA7}" name="2022 Claims: Hospital Outpatient" dataDxfId="613" dataCellStyle="Currency"/>
    <tableColumn id="20" xr3:uid="{9B74633F-5826-4CB9-91B1-B2D894AEB098}" name="2022 Claims: Professional, Primary Care" dataDxfId="612" dataCellStyle="Currency"/>
    <tableColumn id="21" xr3:uid="{E6A2A071-651E-4F24-87EC-AAA90105B282}" name="2022 Claims: Professional, Specialty Care" dataDxfId="611" dataCellStyle="Currency"/>
    <tableColumn id="22" xr3:uid="{21E4ECAC-2E6B-475E-9617-97E59FDF4831}" name="2022 Claims: Professional Other" dataDxfId="610" dataCellStyle="Currency"/>
    <tableColumn id="23" xr3:uid="{6B7D4892-0AD1-435E-8FDF-ED848A9BDD17}" name="2022 Claims: Pharmacy (Gross of Retail Pharmacy Rebates)" dataDxfId="609" dataCellStyle="Currency"/>
    <tableColumn id="24" xr3:uid="{0A4BA317-FB8A-4663-870B-CB525A60DC60}" name="2022 Claims: Long-term Care" dataDxfId="608" dataCellStyle="Currency"/>
    <tableColumn id="25" xr3:uid="{1D1EB18D-9A08-4452-9757-EF63FF30CEA5}" name="2022 Claims: Other" dataDxfId="607" dataCellStyle="Currency"/>
    <tableColumn id="26" xr3:uid="{FAA9DD2A-2255-4095-B150-127ECFB8650C}" name="2022 TOTAL Non-Truncated Claims Expenses" dataDxfId="606" dataCellStyle="Currency"/>
    <tableColumn id="27" xr3:uid="{71672FB7-63C8-4A49-B1AB-4B2089CDCF31}" name="2022 TOTAL Truncated Claims Expenses" dataDxfId="605" dataCellStyle="Currency"/>
    <tableColumn id="28" xr3:uid="{34706C45-DA18-40DB-9D43-DB3CB01667C3}" name="2022 TOTAL Non-Claims Expenses" dataDxfId="604" dataCellStyle="Currency"/>
    <tableColumn id="29" xr3:uid="{8B3ED503-99A8-4FCC-9061-9D8E292A5D43}" name="2022 TOTAL Non-Truncated Total Expenses" dataDxfId="603" dataCellStyle="Currency"/>
    <tableColumn id="30" xr3:uid="{1181BDE1-AED0-4368-B37A-C417061DC2D6}" name="2022 TOTAL Truncated Total Expenses" dataDxfId="602" dataCellStyle="Currency"/>
    <tableColumn id="31" xr3:uid="{84CC0FAB-13F6-4D25-828A-DA06813B640D}" name="Member Months Trend" dataDxfId="601" dataCellStyle="Percent">
      <calculatedColumnFormula>IFERROR(IF($D22=0,"NA",R22/D22-1),"NA")</calculatedColumnFormula>
    </tableColumn>
    <tableColumn id="32" xr3:uid="{B49B67D1-2D56-4AAD-8B51-211E6031B2FB}" name="Claims: Hospital Inpatient Trend" dataDxfId="600" dataCellStyle="Percent">
      <calculatedColumnFormula>IFERROR(IF($D22=0,"NA",S22/E22-1),"NA")</calculatedColumnFormula>
    </tableColumn>
    <tableColumn id="33" xr3:uid="{C3CB18B8-A54A-4D01-B167-959EE7DEEE99}" name="Claims: Hospital Outpatient Trend" dataDxfId="599" dataCellStyle="Percent">
      <calculatedColumnFormula>IFERROR(IF($D22=0,"NA",T22/F22-1),"NA")</calculatedColumnFormula>
    </tableColumn>
    <tableColumn id="34" xr3:uid="{6A1495EC-3C23-4443-B5F3-88A66E3C326F}" name="Claims: Professional, Primary Care Trend" dataDxfId="598" dataCellStyle="Percent">
      <calculatedColumnFormula>IFERROR(IF($D22=0,"NA",U22/G22-1),"NA")</calculatedColumnFormula>
    </tableColumn>
    <tableColumn id="35" xr3:uid="{B2074CEF-4D61-4CA6-B53E-2B9597EEC201}" name="Claims: Professional, Specialty Care Trend" dataDxfId="597" dataCellStyle="Percent">
      <calculatedColumnFormula>IFERROR(IF($D22=0,"NA",V22/H22-1),"NA")</calculatedColumnFormula>
    </tableColumn>
    <tableColumn id="36" xr3:uid="{A847FC45-59BA-41DF-B645-88D29A2D73B1}" name="Claims: Professional Other Trend" dataDxfId="596" dataCellStyle="Percent">
      <calculatedColumnFormula>IFERROR(IF($D22=0,"NA",W22/I22-1),"NA")</calculatedColumnFormula>
    </tableColumn>
    <tableColumn id="37" xr3:uid="{457467F8-3400-4F27-BCB2-04065D515C78}" name="Claims: Pharmacy (Gross of Rebates) Trend" dataDxfId="595" dataCellStyle="Percent">
      <calculatedColumnFormula>IFERROR(IF($D22=0,"NA",X22/J22-1),"NA")</calculatedColumnFormula>
    </tableColumn>
    <tableColumn id="38" xr3:uid="{AA7E3DC6-E19A-4DA6-8265-58A3F5F67400}" name="Claims: Long-term Care  Trend" dataDxfId="594" dataCellStyle="Percent">
      <calculatedColumnFormula>IFERROR(IF($D22=0,"NA",Y22/K22-1),"NA")</calculatedColumnFormula>
    </tableColumn>
    <tableColumn id="39" xr3:uid="{08E6EC0A-C16F-4605-B48F-D929062B4044}" name="Claims: Other Trend" dataDxfId="593" dataCellStyle="Percent">
      <calculatedColumnFormula>IFERROR(IF($D22=0,"NA",Z22/L22-1),"NA")</calculatedColumnFormula>
    </tableColumn>
    <tableColumn id="40" xr3:uid="{257A7B5A-A11C-4F6C-8B3A-C8D9135D8D1E}" name="TOTAL Non-Truncated Claims Expenses Trend" dataDxfId="592" dataCellStyle="Percent">
      <calculatedColumnFormula>IFERROR(IF($D22=0,"NA",AA22/M22-1),"NA")</calculatedColumnFormula>
    </tableColumn>
    <tableColumn id="41" xr3:uid="{1EC70B9E-62DE-40F5-85C8-891DC71EBDB4}" name="TOTAL Truncated Claims Expenses  Trend" dataDxfId="591" dataCellStyle="Percent">
      <calculatedColumnFormula>IFERROR(IF($D22=0,"NA",AB22/N22-1),"NA")</calculatedColumnFormula>
    </tableColumn>
    <tableColumn id="42" xr3:uid="{48744369-DA74-4F0B-861A-E9C2534F6099}" name="TOTAL Non-Claims Expenses Trend" dataDxfId="590" dataCellStyle="Percent">
      <calculatedColumnFormula>IFERROR(IF($D22=0,"NA",AC22/O22-1),"NA")</calculatedColumnFormula>
    </tableColumn>
    <tableColumn id="43" xr3:uid="{0240DB65-2024-4326-8937-D49AC6A845F5}" name="TOTAL Non-Truncated Total Expenses Trend" dataDxfId="589" dataCellStyle="Percent">
      <calculatedColumnFormula>IFERROR(IF($D22=0,"NA",AD22/P22-1),"NA")</calculatedColumnFormula>
    </tableColumn>
    <tableColumn id="44" xr3:uid="{0EB7B7D2-8A42-46E3-8973-3B07E815BFFC}" name="TOTAL Truncated Total Expenses Trend" dataDxfId="588" dataCellStyle="Percent">
      <calculatedColumnFormula>IFERROR(IF($D22=0,"NA",AE22/Q22-1),"NA")</calculatedColumnFormula>
    </tableColumn>
  </tableColumns>
  <tableStyleInfo name="TableStyleLight9"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DADB036-A9B6-451F-BEBF-70F5DA40A4A1}" name="ValbyACO_ICC4" displayName="ValbyACO_ICC4" ref="B35:AS46" totalsRowShown="0" headerRowDxfId="587" dataDxfId="585" headerRowBorderDxfId="586" tableBorderDxfId="584" totalsRowBorderDxfId="583" dataCellStyle="Percent">
  <tableColumns count="44">
    <tableColumn id="1" xr3:uid="{FCF465EF-4C4F-4648-9B20-0AD20E9A54D8}" name="Org ID" dataDxfId="582"/>
    <tableColumn id="2" xr3:uid="{57AC662B-188B-4138-A517-01131FB6CE7B}" name="ACO/AE Name" dataDxfId="581"/>
    <tableColumn id="3" xr3:uid="{5B2D8F87-AB9E-4C7A-BC65-FCCA35D02023}" name="2021 Member Months" dataDxfId="580" dataCellStyle="Comma"/>
    <tableColumn id="4" xr3:uid="{46360329-94D7-461D-8397-4C3B0C8CED19}" name="2021 Claims: Hospital Inpatient" dataDxfId="579" dataCellStyle="Currency"/>
    <tableColumn id="5" xr3:uid="{A6E56D5F-2D95-4F29-B260-2B1BC4CF6B69}" name="2021 Claims: Hospital Outpatient" dataDxfId="578" dataCellStyle="Currency"/>
    <tableColumn id="6" xr3:uid="{B44CC056-683D-4B2E-88F3-9DB9A8F25D21}" name="2021 Claims: Professional, Primary Care" dataDxfId="577" dataCellStyle="Currency"/>
    <tableColumn id="7" xr3:uid="{A844CFD7-53AC-492D-AD1B-77FDCA4D8F63}" name="2021 Claims: Professional, Specialty Care" dataDxfId="576" dataCellStyle="Currency"/>
    <tableColumn id="8" xr3:uid="{D56DD3BD-949A-4248-A3C1-233021537B40}" name="2021 Claims: Professional Other" dataDxfId="575" dataCellStyle="Currency"/>
    <tableColumn id="9" xr3:uid="{CB7932EE-D7D4-41A4-8288-1701980396F7}" name="2021 Claims: Pharmacy (Gross of  Rebates)" dataDxfId="574" dataCellStyle="Currency"/>
    <tableColumn id="10" xr3:uid="{1C5E488B-C3BD-4B01-8A77-24D67AAE0777}" name="2021 Claims: Long-term Care" dataDxfId="573" dataCellStyle="Currency"/>
    <tableColumn id="11" xr3:uid="{CCD34EE1-BCEA-455C-AFDF-7BE42B4B8F0F}" name="2021 Claims: Other" dataDxfId="572" dataCellStyle="Currency"/>
    <tableColumn id="12" xr3:uid="{8A7AF470-CEC7-413D-B9F2-95E013EEDFF9}" name="2021 TOTAL Non-Truncated Claims Expenses" dataDxfId="571" dataCellStyle="Currency"/>
    <tableColumn id="13" xr3:uid="{7DB0ADD4-8C5D-4F93-B71A-DA7F9CF1C72A}" name="2021 TOTAL Truncated Claims Expenses" dataDxfId="570" dataCellStyle="Currency"/>
    <tableColumn id="14" xr3:uid="{73452FD1-B2FF-40B5-A56D-9C76B1E7B136}" name="2021 TOTAL Non-Claims Expenses" dataDxfId="569" dataCellStyle="Currency"/>
    <tableColumn id="15" xr3:uid="{9CF11D73-AD0A-448E-B190-CE98EC20B62E}" name="2021 TOTAL Non-Truncated Total Expenses" dataDxfId="568" dataCellStyle="Currency"/>
    <tableColumn id="16" xr3:uid="{55D290BA-3B30-4065-A60B-5DD1C6E2589A}" name="2021 TOTAL Truncated Total Expenses" dataDxfId="567" dataCellStyle="Currency"/>
    <tableColumn id="17" xr3:uid="{13DD3EA8-53DF-4145-A403-BD1F59895930}" name="2022 Member Months" dataDxfId="566" dataCellStyle="Comma"/>
    <tableColumn id="18" xr3:uid="{9BE3C925-54FF-4554-8859-F3B67DAF225A}" name="2022 Claims: Hospital Inpatient" dataDxfId="565" dataCellStyle="Currency"/>
    <tableColumn id="19" xr3:uid="{C5B640AA-C2E7-48F2-A37D-AD2EA1058AC6}" name="2022 Claims: Hospital Outpatient" dataDxfId="564" dataCellStyle="Currency"/>
    <tableColumn id="20" xr3:uid="{90C39AD2-CA63-44CD-B2D8-7A504DE7E5AE}" name="2022 Claims: Professional, Primary Care" dataDxfId="563" dataCellStyle="Currency"/>
    <tableColumn id="21" xr3:uid="{D86667C4-2BEC-44D9-A0C7-BB9946A2EB93}" name="2022 Claims: Professional, Specialty Care" dataDxfId="562" dataCellStyle="Currency"/>
    <tableColumn id="22" xr3:uid="{E8957C63-E1F7-4418-8C75-4E60448A5E6C}" name="2022 Claims: Professional Other" dataDxfId="561" dataCellStyle="Currency"/>
    <tableColumn id="23" xr3:uid="{080D1AE4-DE8F-4624-AF36-B81E759EF28E}" name="2022 Claims: Pharmacy (Gross of Retail Pharmacy Rebates)" dataDxfId="560" dataCellStyle="Currency"/>
    <tableColumn id="24" xr3:uid="{0648671E-7A93-429F-B311-8E095CA0450A}" name="2022 Claims: Long-term Care" dataDxfId="559" dataCellStyle="Currency"/>
    <tableColumn id="25" xr3:uid="{E52A8B3D-90C3-4820-A09E-C3D5EB72E4B8}" name="2022 Claims: Other" dataDxfId="558" dataCellStyle="Currency"/>
    <tableColumn id="26" xr3:uid="{78690337-7B18-4375-8F4A-7979EEFBB63A}" name="2022 TOTAL Non-Truncated Claims Expenses" dataDxfId="557" dataCellStyle="Currency"/>
    <tableColumn id="27" xr3:uid="{17A2A2FE-D866-4ECE-8F65-5F9AA3C4CD7A}" name="2022 TOTAL Truncated Claims Expenses" dataDxfId="556" dataCellStyle="Currency"/>
    <tableColumn id="28" xr3:uid="{584EC95F-9026-44CE-BB3B-216FF02E68B4}" name="2022 TOTAL Non-Claims Expenses" dataDxfId="555" dataCellStyle="Currency"/>
    <tableColumn id="29" xr3:uid="{A2923A20-DFB1-45FB-A96A-2604B19EC7AD}" name="2022 TOTAL Non-Truncated Total Expenses" dataDxfId="554" dataCellStyle="Currency"/>
    <tableColumn id="30" xr3:uid="{1CDEE6D4-5B0D-45F2-9979-68B7414BD651}" name="2022 TOTAL Truncated Total Expenses" dataDxfId="553" dataCellStyle="Currency"/>
    <tableColumn id="31" xr3:uid="{8C6B68A4-CA25-4B48-AD5B-040733BEF15D}" name="Member Months Trend" dataDxfId="552" dataCellStyle="Percent">
      <calculatedColumnFormula>IFERROR(IF($D36=0,"NA",R36/D36-1),"NA")</calculatedColumnFormula>
    </tableColumn>
    <tableColumn id="32" xr3:uid="{B1EA48D1-A46B-45BD-A73A-22C4D07592A7}" name="Claims: Hospital Inpatient Trend" dataDxfId="551" dataCellStyle="Percent">
      <calculatedColumnFormula>IFERROR(IF($D36=0,"NA",S36/E36-1),"NA")</calculatedColumnFormula>
    </tableColumn>
    <tableColumn id="33" xr3:uid="{7B5E238B-8E13-4820-9B7B-29666874DAF8}" name="Claims: Hospital Outpatient Trend" dataDxfId="550" dataCellStyle="Percent">
      <calculatedColumnFormula>IFERROR(IF($D36=0,"NA",T36/F36-1),"NA")</calculatedColumnFormula>
    </tableColumn>
    <tableColumn id="34" xr3:uid="{2151B916-D44E-42FC-A4A1-66C291E35CFD}" name="Claims: Professional, Primary Care Trend" dataDxfId="549" dataCellStyle="Percent">
      <calculatedColumnFormula>IFERROR(IF($D36=0,"NA",U36/G36-1),"NA")</calculatedColumnFormula>
    </tableColumn>
    <tableColumn id="35" xr3:uid="{7FD00106-3F83-4DC4-8CA6-61A8A76C1A68}" name="Claims: Professional, Specialty Care Trend" dataDxfId="548" dataCellStyle="Percent">
      <calculatedColumnFormula>IFERROR(IF($D36=0,"NA",V36/H36-1),"NA")</calculatedColumnFormula>
    </tableColumn>
    <tableColumn id="36" xr3:uid="{72BB6639-26F7-4A6C-8987-EC924D5124D7}" name="Claims: Professional Other Trend" dataDxfId="547" dataCellStyle="Percent">
      <calculatedColumnFormula>IFERROR(IF($D36=0,"NA",W36/I36-1),"NA")</calculatedColumnFormula>
    </tableColumn>
    <tableColumn id="37" xr3:uid="{49435146-A018-4489-B65D-B80E2613D558}" name="Claims: Pharmacy (Gross of Rebates) Trend" dataDxfId="546" dataCellStyle="Percent">
      <calculatedColumnFormula>IFERROR(IF($D36=0,"NA",X36/J36-1),"NA")</calculatedColumnFormula>
    </tableColumn>
    <tableColumn id="38" xr3:uid="{18BF1150-F30E-4E17-B7C8-5A8F0D9B3933}" name="Claims: Long-term Care  Trend" dataDxfId="545" dataCellStyle="Percent">
      <calculatedColumnFormula>IFERROR(IF($D36=0,"NA",Y36/K36-1),"NA")</calculatedColumnFormula>
    </tableColumn>
    <tableColumn id="39" xr3:uid="{54D6E7A4-2461-4485-AA70-3EF6F5CCCFAC}" name="Claims: Other Trend" dataDxfId="544" dataCellStyle="Percent">
      <calculatedColumnFormula>IFERROR(IF($D36=0,"NA",Z36/L36-1),"NA")</calculatedColumnFormula>
    </tableColumn>
    <tableColumn id="40" xr3:uid="{A8C4A052-20BB-402E-B12B-A04650E87E61}" name="TOTAL Non-Truncated Claims Expenses Trend" dataDxfId="543" dataCellStyle="Percent">
      <calculatedColumnFormula>IFERROR(IF($D36=0,"NA",AA36/M36-1),"NA")</calculatedColumnFormula>
    </tableColumn>
    <tableColumn id="41" xr3:uid="{3957E4BA-5B39-44B8-86FC-4779300EB78A}" name="TOTAL Truncated Claims Expenses  Trend" dataDxfId="542" dataCellStyle="Percent">
      <calculatedColumnFormula>IFERROR(IF($D36=0,"NA",AB36/N36-1),"NA")</calculatedColumnFormula>
    </tableColumn>
    <tableColumn id="42" xr3:uid="{3423F6EB-361B-4625-8161-ABD21711808C}" name="TOTAL Non-Claims Expenses Trend" dataDxfId="541" dataCellStyle="Percent">
      <calculatedColumnFormula>IFERROR(IF($D36=0,"NA",AC36/O36-1),"NA")</calculatedColumnFormula>
    </tableColumn>
    <tableColumn id="43" xr3:uid="{173DC035-601C-4B4E-90E6-08E76192EB75}" name="TOTAL Non-Truncated Total Expenses Trend" dataDxfId="540" dataCellStyle="Percent">
      <calculatedColumnFormula>IFERROR(IF($D36=0,"NA",AD36/P36-1),"NA")</calculatedColumnFormula>
    </tableColumn>
    <tableColumn id="44" xr3:uid="{0B9E2272-5D73-4803-969E-A5EA61461F2E}" name="TOTAL Truncated Total Expenses Trend" dataDxfId="539" dataCellStyle="Percent">
      <calculatedColumnFormula>IFERROR(IF($D36=0,"NA",AE36/Q36-1),"NA")</calculatedColumnFormula>
    </tableColumn>
  </tableColumns>
  <tableStyleInfo name="TableStyleLight9"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E1539A8E-A340-4492-83D6-33CFA4263403}" name="ValbyACO_MCaid" displayName="ValbyACO_MCaid" ref="B49:AS60" totalsRowShown="0" headerRowDxfId="538" dataDxfId="536" headerRowBorderDxfId="537" tableBorderDxfId="535" totalsRowBorderDxfId="534" dataCellStyle="Percent">
  <tableColumns count="44">
    <tableColumn id="1" xr3:uid="{D8A0F361-C040-48D1-810D-D1E0FC4B7641}" name="Org ID" dataDxfId="533"/>
    <tableColumn id="2" xr3:uid="{A8E8B3FC-6364-4D64-9FE8-D54E469B4996}" name="ACO/AE Name" dataDxfId="532"/>
    <tableColumn id="3" xr3:uid="{D5AEBBCB-FDBE-4394-9DCD-E61D1D805EEA}" name="2021 Member Months (sum of ICC2 + 6)" dataDxfId="531" dataCellStyle="Comma"/>
    <tableColumn id="4" xr3:uid="{BA35E662-419A-4DD8-BA74-363D519CB7BB}" name="2021 Claims: Hospital Inpatient" dataDxfId="530" dataCellStyle="Currency">
      <calculatedColumnFormula>IF(D50=0,"NA",(SUMPRODUCT(E64,D64)+SUMPRODUCT(E78,D78))/D50)</calculatedColumnFormula>
    </tableColumn>
    <tableColumn id="5" xr3:uid="{94620D8F-B68E-46C7-8917-344CDA5BD0AA}" name="2021 Claims: Hospital Outpatient" dataDxfId="529" dataCellStyle="Currency">
      <calculatedColumnFormula>IF(D50=0,"NA",(SUMPRODUCT(F64,D64)+SUMPRODUCT(F78,D78))/D50)</calculatedColumnFormula>
    </tableColumn>
    <tableColumn id="6" xr3:uid="{0DA329B1-9723-41AE-A2C7-A913D81D33C8}" name="2021 Claims: Professional, Primary Care" dataDxfId="528" dataCellStyle="Currency">
      <calculatedColumnFormula>IF(D50=0,"NA",(SUMPRODUCT(G64,D64)+SUMPRODUCT(G78,D78))/D50)</calculatedColumnFormula>
    </tableColumn>
    <tableColumn id="7" xr3:uid="{832D3514-9A78-44AF-A348-AED1C33DBBB2}" name="2021 Claims: Professional, Specialty Care" dataDxfId="527" dataCellStyle="Currency">
      <calculatedColumnFormula>IF(D50=0,"NA",(SUMPRODUCT(H64,D64)+SUMPRODUCT(H78,D78))/D50)</calculatedColumnFormula>
    </tableColumn>
    <tableColumn id="8" xr3:uid="{BF94E2B4-2051-4EA1-AAB4-63DA891657A9}" name="2021 Claims: Professional Other" dataDxfId="526" dataCellStyle="Currency">
      <calculatedColumnFormula>IF(D50=0,"NA",(SUMPRODUCT(I64,D64)+SUMPRODUCT(I78,D78))/D50)</calculatedColumnFormula>
    </tableColumn>
    <tableColumn id="9" xr3:uid="{650519AB-BC15-4C70-8C99-C926BB21EEB2}" name="2021 Claims: Pharmacy (Gross of  Rebates)" dataDxfId="525" dataCellStyle="Currency">
      <calculatedColumnFormula>IF(D50=0,"NA",(SUMPRODUCT(J64,D64)+SUMPRODUCT(J78,D78))/D50)</calculatedColumnFormula>
    </tableColumn>
    <tableColumn id="10" xr3:uid="{D1B999F1-854E-4830-99F1-DB2930BB994D}" name="2021 Claims: Long-term Care" dataDxfId="524" dataCellStyle="Currency">
      <calculatedColumnFormula>IF(D50=0,"NA",(SUMPRODUCT(K64,D64)+SUMPRODUCT(K78,D78))/D50)</calculatedColumnFormula>
    </tableColumn>
    <tableColumn id="11" xr3:uid="{43D0981D-D5DB-4A4B-964B-AFE3BCE0BE6B}" name="2021 Claims: Other" dataDxfId="523" dataCellStyle="Currency">
      <calculatedColumnFormula>IF(D50=0,"NA",(SUMPRODUCT(L64,D64)+SUMPRODUCT(L78,D78))/D50)</calculatedColumnFormula>
    </tableColumn>
    <tableColumn id="12" xr3:uid="{E07F97BE-4B82-46A7-B545-B6158369ED1D}" name="2021 TOTAL Non-Truncated Claims Expenses" dataDxfId="522" dataCellStyle="Currency">
      <calculatedColumnFormula>IF(D50=0,"NA",(SUMPRODUCT(M64,D64)+SUMPRODUCT(M78,D78))/D50)</calculatedColumnFormula>
    </tableColumn>
    <tableColumn id="13" xr3:uid="{E74A6AFC-DC1F-4EC4-84F4-1409C16E573C}" name="2021 TOTAL Truncated Claims Expenses" dataDxfId="521" dataCellStyle="Currency">
      <calculatedColumnFormula>IF(D50=0,"NA",(SUMPRODUCT(N64,D64)+SUMPRODUCT(N78,D78))/D50)</calculatedColumnFormula>
    </tableColumn>
    <tableColumn id="14" xr3:uid="{05CB1B76-18AF-41A8-AE26-6E1C948B1194}" name="2021 TOTAL Non-Claims Expenses" dataDxfId="520" dataCellStyle="Currency">
      <calculatedColumnFormula>IF(D50=0,"NA",(SUMPRODUCT(O64,D64)+SUMPRODUCT(O78,D78))/D50)</calculatedColumnFormula>
    </tableColumn>
    <tableColumn id="15" xr3:uid="{0F31EBAC-9527-4036-A967-FEB645355B83}" name="2021 TOTAL Non-Truncated Total Expenses" dataDxfId="519" dataCellStyle="Currency">
      <calculatedColumnFormula>IF(D50=0,"NA",(SUMPRODUCT(P64,D64)+SUMPRODUCT(P78,D78))/D50)</calculatedColumnFormula>
    </tableColumn>
    <tableColumn id="16" xr3:uid="{1A34375A-AAD5-4C9B-9CC2-3C013428D990}" name="2021 TOTAL Truncated Total Expenses" dataDxfId="518" dataCellStyle="Currency">
      <calculatedColumnFormula>IF(D50=0,"NA",(SUMPRODUCT(Q64,D64)+SUMPRODUCT(Q78,D78))/D50)</calculatedColumnFormula>
    </tableColumn>
    <tableColumn id="17" xr3:uid="{6E7E9B03-6C66-4F94-A749-8CC535FAF622}" name="2022 Member Months (sum of ICC2 + 6)" dataDxfId="517" dataCellStyle="Comma"/>
    <tableColumn id="18" xr3:uid="{66FDC9D9-7F78-4DB3-8640-4A62E40B5B2F}" name="2022 Claims: Hospital Inpatient" dataDxfId="516" dataCellStyle="Currency">
      <calculatedColumnFormula>IF(R50=0,"NA",(SUMPRODUCT(S64,R64)+SUMPRODUCT(S78,R78))/R50)</calculatedColumnFormula>
    </tableColumn>
    <tableColumn id="19" xr3:uid="{F11C7B80-9E69-44E1-85CB-4A99540DF7B4}" name="2022 Claims: Hospital Outpatient" dataDxfId="515" dataCellStyle="Currency">
      <calculatedColumnFormula>IF(R50=0,"NA",(SUMPRODUCT(T64,R64)+SUMPRODUCT(T78,R78))/R50)</calculatedColumnFormula>
    </tableColumn>
    <tableColumn id="20" xr3:uid="{61AD4DDC-4514-406C-A668-413E2127DE83}" name="2022 Claims: Professional, Primary Care" dataDxfId="514" dataCellStyle="Currency">
      <calculatedColumnFormula>IF(R50=0,"NA",(SUMPRODUCT(U64,R64)+SUMPRODUCT(U78,R78))/R50)</calculatedColumnFormula>
    </tableColumn>
    <tableColumn id="21" xr3:uid="{BD0A5F09-0C06-4AD3-AF06-BD9663DF64B7}" name="2022 Claims: Professional, Specialty Care" dataDxfId="513" dataCellStyle="Currency">
      <calculatedColumnFormula>IF(R50=0,"NA",(SUMPRODUCT(V64,R64)+SUMPRODUCT(V78,R78))/R50)</calculatedColumnFormula>
    </tableColumn>
    <tableColumn id="22" xr3:uid="{ACF6D831-DFBC-410D-9109-B02F3B6CABB9}" name="2022 Claims: Professional Other" dataDxfId="512" dataCellStyle="Currency">
      <calculatedColumnFormula>IF(R50=0,"NA",(SUMPRODUCT(W64,R64)+SUMPRODUCT(W78,R78))/R50)</calculatedColumnFormula>
    </tableColumn>
    <tableColumn id="23" xr3:uid="{C69A8874-13A7-4E21-8F92-4C1BC235DD36}" name="2022 Claims: Pharmacy (Gross of Retail Pharmacy Rebates)" dataDxfId="511" dataCellStyle="Currency">
      <calculatedColumnFormula>IF(R50=0,"NA",(SUMPRODUCT(X64,R64)+SUMPRODUCT(X78,R78))/R50)</calculatedColumnFormula>
    </tableColumn>
    <tableColumn id="24" xr3:uid="{7B8B82D1-FFE8-471A-8509-D8C22111D7DB}" name="2022 Claims: Long-term Care" dataDxfId="510" dataCellStyle="Currency">
      <calculatedColumnFormula>IF(R50=0,"NA",(SUMPRODUCT(Y64,R64)+SUMPRODUCT(Y78,R78))/R50)</calculatedColumnFormula>
    </tableColumn>
    <tableColumn id="25" xr3:uid="{7514A35C-6FDA-45A2-9D42-22052172A400}" name="2022 Claims: Other" dataDxfId="509" dataCellStyle="Currency">
      <calculatedColumnFormula>IF(R50=0,"NA",(SUMPRODUCT(Z64,R64)+SUMPRODUCT(Z78,R78))/R50)</calculatedColumnFormula>
    </tableColumn>
    <tableColumn id="26" xr3:uid="{5F6401EE-C8CF-49E5-B678-DAF6C9BF2514}" name="2022 TOTAL Non-Truncated Claims Expenses" dataDxfId="508" dataCellStyle="Currency">
      <calculatedColumnFormula>IF(R50=0,"NA",(SUMPRODUCT(AA64,R64)+SUMPRODUCT(AA78,R78))/R50)</calculatedColumnFormula>
    </tableColumn>
    <tableColumn id="27" xr3:uid="{0488B697-7380-4908-B37C-83AFB6E31AFF}" name="2022 TOTAL Truncated Claims Expenses" dataDxfId="507" dataCellStyle="Currency">
      <calculatedColumnFormula>IF(R50=0,"NA",(SUMPRODUCT(AB64,R64)+SUMPRODUCT(AB78,R78))/R50)</calculatedColumnFormula>
    </tableColumn>
    <tableColumn id="28" xr3:uid="{B1A3F585-E0DF-4A21-89C0-18C15FBA8CCA}" name="2022 TOTAL Non-Claims Expenses" dataDxfId="506" dataCellStyle="Currency">
      <calculatedColumnFormula>IF(R50=0,"NA",(SUMPRODUCT(AC64,R64)+SUMPRODUCT(AC78,R78))/R50)</calculatedColumnFormula>
    </tableColumn>
    <tableColumn id="29" xr3:uid="{F5A2D4D8-3156-42BE-B914-089058BB63BC}" name="2022 TOTAL Non-Truncated Total Expenses" dataDxfId="505" dataCellStyle="Currency">
      <calculatedColumnFormula>IF(R50=0,"NA",(SUMPRODUCT(AD64,R64)+SUMPRODUCT(AD78,R78))/R50)</calculatedColumnFormula>
    </tableColumn>
    <tableColumn id="30" xr3:uid="{DD0B38C0-6D0B-46E0-9EDE-25DD9310CE7D}" name="2022 TOTAL Truncated Total Expenses" dataDxfId="504" dataCellStyle="Currency">
      <calculatedColumnFormula>IF(R50=0,"NA",(SUMPRODUCT(AE64,R64)+SUMPRODUCT(AE78,R78))/R50)</calculatedColumnFormula>
    </tableColumn>
    <tableColumn id="31" xr3:uid="{F2540B75-7D43-4E53-A6C4-A434A3D99865}" name="Member Months Trend" dataDxfId="503" dataCellStyle="Percent">
      <calculatedColumnFormula>IFERROR(IF($D50=0,"NA",R50/D50-1),"NA")</calculatedColumnFormula>
    </tableColumn>
    <tableColumn id="32" xr3:uid="{990FBFE4-D899-41A0-AE0E-21381454824F}" name="Claims: Hospital Inpatient Trend" dataDxfId="502" dataCellStyle="Percent">
      <calculatedColumnFormula>IFERROR(IF($D50=0,"NA",S50/E50-1),"NA")</calculatedColumnFormula>
    </tableColumn>
    <tableColumn id="33" xr3:uid="{3B2E2180-746A-4139-B746-C9F9E723C4DB}" name="Claims: Hospital Outpatient Trend" dataDxfId="501" dataCellStyle="Percent">
      <calculatedColumnFormula>IFERROR(IF($D50=0,"NA",T50/F50-1),"NA")</calculatedColumnFormula>
    </tableColumn>
    <tableColumn id="34" xr3:uid="{149C930B-B4B8-4FC9-A5D0-104B4E939976}" name="Claims: Professional, Primary Care Trend" dataDxfId="500" dataCellStyle="Percent">
      <calculatedColumnFormula>IFERROR(IF($D50=0,"NA",U50/G50-1),"NA")</calculatedColumnFormula>
    </tableColumn>
    <tableColumn id="35" xr3:uid="{DE06FE8A-10F2-4652-A355-7D9F716F3FA9}" name="Claims: Professional, Specialty Care Trend" dataDxfId="499" dataCellStyle="Percent">
      <calculatedColumnFormula>IFERROR(IF($D50=0,"NA",V50/H50-1),"NA")</calculatedColumnFormula>
    </tableColumn>
    <tableColumn id="36" xr3:uid="{45E2EF20-4832-4B8A-9CF8-988E642BFFF9}" name="Claims: Professional Other Trend" dataDxfId="498" dataCellStyle="Percent">
      <calculatedColumnFormula>IFERROR(IF($D50=0,"NA",W50/I50-1),"NA")</calculatedColumnFormula>
    </tableColumn>
    <tableColumn id="37" xr3:uid="{7F9CB7D2-47E2-4296-8C50-0C6E44FDA9BD}" name="Claims: Pharmacy (Gross of Rebates) Trend" dataDxfId="497" dataCellStyle="Percent">
      <calculatedColumnFormula>IFERROR(IF($D50=0,"NA",X50/J50-1),"NA")</calculatedColumnFormula>
    </tableColumn>
    <tableColumn id="38" xr3:uid="{B20141C5-F94F-4970-8329-07178F8FB1D0}" name="Claims: Long-term Care  Trend" dataDxfId="496" dataCellStyle="Percent">
      <calculatedColumnFormula>IFERROR(IF($D50=0,"NA",Y50/K50-1),"NA")</calculatedColumnFormula>
    </tableColumn>
    <tableColumn id="39" xr3:uid="{BCA421E1-ED07-41FD-AED0-F9835497F473}" name="Claims: Other Trend" dataDxfId="495" dataCellStyle="Percent">
      <calculatedColumnFormula>IFERROR(IF($D50=0,"NA",Z50/L50-1),"NA")</calculatedColumnFormula>
    </tableColumn>
    <tableColumn id="40" xr3:uid="{4FB20482-EDA2-40D9-96CB-9ECAD4F662CE}" name="TOTAL Non-Truncated Claims Expenses Trend" dataDxfId="494" dataCellStyle="Percent">
      <calculatedColumnFormula>IFERROR(IF($D50=0,"NA",AA50/M50-1),"NA")</calculatedColumnFormula>
    </tableColumn>
    <tableColumn id="41" xr3:uid="{BD58E17B-BC02-437E-9A26-B9B9AADC9B59}" name="TOTAL Truncated Claims Expenses  Trend" dataDxfId="493" dataCellStyle="Percent">
      <calculatedColumnFormula>IFERROR(IF($D50=0,"NA",AB50/N50-1),"NA")</calculatedColumnFormula>
    </tableColumn>
    <tableColumn id="42" xr3:uid="{6A68C3FC-533D-4E20-92F4-3817DCE8C7B4}" name="TOTAL Non-Claims Expenses Trend" dataDxfId="492" dataCellStyle="Percent">
      <calculatedColumnFormula>IFERROR(IF($D50=0,"NA",AC50/O50-1),"NA")</calculatedColumnFormula>
    </tableColumn>
    <tableColumn id="43" xr3:uid="{FA32E7E0-48C8-4496-B0BC-6996CB69D6D4}" name="TOTAL Non-Truncated Total Expenses Trend" dataDxfId="491" dataCellStyle="Percent">
      <calculatedColumnFormula>IFERROR(IF($D50=0,"NA",AD50/P50-1),"NA")</calculatedColumnFormula>
    </tableColumn>
    <tableColumn id="44" xr3:uid="{5F78632D-7FB6-4CF7-A648-FFA094AF06B1}" name="TOTAL Truncated Total Expenses Trend" dataDxfId="490" dataCellStyle="Percent">
      <calculatedColumnFormula>IFERROR(IF($D50=0,"NA",AE50/Q50-1),"NA")</calculatedColumnFormula>
    </tableColumn>
  </tableColumns>
  <tableStyleInfo name="TableStyleLight8"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DADB4A58-AE2F-40B1-8A6F-42E58A42CB9A}" name="ValbyACO_ICC2" displayName="ValbyACO_ICC2" ref="B63:AS74" totalsRowShown="0" headerRowDxfId="489" dataDxfId="487" headerRowBorderDxfId="488" tableBorderDxfId="486" totalsRowBorderDxfId="485" dataCellStyle="Percent">
  <tableColumns count="44">
    <tableColumn id="1" xr3:uid="{0B2225E9-CC73-438D-B202-CA8AC8E8F6CD}" name="Org ID" dataDxfId="484"/>
    <tableColumn id="2" xr3:uid="{041A8ECD-F106-48AB-89C6-50BFA2C99BAD}" name="ACO/AE Name" dataDxfId="483"/>
    <tableColumn id="3" xr3:uid="{745896D9-FCE8-4883-82DD-352C28F3FC51}" name="2021 Member Months" dataDxfId="482" dataCellStyle="Comma"/>
    <tableColumn id="4" xr3:uid="{FE08E2E2-D2D5-4F61-98B1-D80DBB84037A}" name="2021 Claims: Hospital Inpatient" dataDxfId="481" dataCellStyle="Currency"/>
    <tableColumn id="5" xr3:uid="{C44662AF-4AA1-4D0C-B6D1-7BF8525D321D}" name="2021 Claims: Hospital Outpatient" dataDxfId="480" dataCellStyle="Currency"/>
    <tableColumn id="6" xr3:uid="{6B32F6A5-5969-4D2E-93F9-A3920F8D9BCA}" name="2021 Claims: Professional, Primary Care" dataDxfId="479" dataCellStyle="Currency"/>
    <tableColumn id="7" xr3:uid="{2D1E2E2F-DC2A-49F4-AA1C-4B6267394E5B}" name="2021 Claims: Professional, Specialty Care" dataDxfId="478" dataCellStyle="Currency"/>
    <tableColumn id="8" xr3:uid="{CA5EFB2E-0217-4465-803E-820553193531}" name="2021 Claims: Professional Other" dataDxfId="477" dataCellStyle="Currency"/>
    <tableColumn id="9" xr3:uid="{5A86EF28-747D-48D8-8C3F-1B92D13384F1}" name="2021 Claims: Pharmacy (Gross of  Rebates)" dataDxfId="476" dataCellStyle="Currency"/>
    <tableColumn id="10" xr3:uid="{087A8CFF-7055-44D6-8D2D-B13D5E7726EA}" name="2021 Claims: Long-term Care" dataDxfId="475" dataCellStyle="Currency"/>
    <tableColumn id="11" xr3:uid="{BFF77E0B-14BC-4178-90E4-B7C39552A82A}" name="2021 Claims: Other" dataDxfId="474" dataCellStyle="Currency"/>
    <tableColumn id="12" xr3:uid="{FD86CEC9-C5C6-4CE1-B8D3-AD786360B8A3}" name="2021 TOTAL Non-Truncated Claims Expenses" dataDxfId="473" dataCellStyle="Currency"/>
    <tableColumn id="13" xr3:uid="{3B1778D6-714D-44BA-BCE7-9060CE191793}" name="2021 TOTAL Truncated Claims Expenses" dataDxfId="472" dataCellStyle="Currency"/>
    <tableColumn id="14" xr3:uid="{12692B28-6CAE-4840-875C-721F4191F8A7}" name="2021 TOTAL Non-Claims Expenses" dataDxfId="471" dataCellStyle="Currency"/>
    <tableColumn id="15" xr3:uid="{6D63CC66-9846-46C2-807A-CC6488351B3B}" name="2021 TOTAL Non-Truncated Total Expenses" dataDxfId="470" dataCellStyle="Currency"/>
    <tableColumn id="16" xr3:uid="{C6303795-4E29-41B0-AD3B-A8A75806302C}" name="2021 TOTAL Truncated Total Expenses" dataDxfId="469" dataCellStyle="Currency"/>
    <tableColumn id="17" xr3:uid="{4C8547FF-6753-430C-B3AA-44702119F048}" name="2022 Member Months" dataDxfId="468" dataCellStyle="Comma"/>
    <tableColumn id="18" xr3:uid="{FC9FCFAD-0BCF-4008-8B54-2A72E4F30DEB}" name="2022 Claims: Hospital Inpatient" dataDxfId="467" dataCellStyle="Currency"/>
    <tableColumn id="19" xr3:uid="{58DD6BEA-9E44-4975-81F2-90A0E12A3628}" name="2022 Claims: Hospital Outpatient" dataDxfId="466" dataCellStyle="Currency"/>
    <tableColumn id="20" xr3:uid="{68FA152D-0ECF-45F3-B20C-A3D82B264DFB}" name="2022 Claims: Professional, Primary Care" dataDxfId="465" dataCellStyle="Currency"/>
    <tableColumn id="21" xr3:uid="{FC73B8F5-A769-4C25-B87E-68C05D468CCB}" name="2022 Claims: Professional, Specialty Care" dataDxfId="464" dataCellStyle="Currency"/>
    <tableColumn id="22" xr3:uid="{14A591EF-079B-4EFD-BC54-F98E028D591F}" name="2022 Claims: Professional Other" dataDxfId="463" dataCellStyle="Currency"/>
    <tableColumn id="23" xr3:uid="{DEFF6D40-4685-4037-9A2D-346A61D9C5A8}" name="2022 Claims: Pharmacy (Gross of Retail Pharmacy Rebates)" dataDxfId="462" dataCellStyle="Currency"/>
    <tableColumn id="24" xr3:uid="{17380859-B8D0-4CA5-B4B1-93C76818A067}" name="2022 Claims: Long-term Care" dataDxfId="461" dataCellStyle="Currency"/>
    <tableColumn id="25" xr3:uid="{A54F2999-2C3F-4910-920E-C650F3BE12B1}" name="2022 Claims: Other" dataDxfId="460" dataCellStyle="Currency"/>
    <tableColumn id="26" xr3:uid="{C2ED24F4-BEC3-41DD-9A6C-24FEECA71A32}" name="2022 TOTAL Non-Truncated Claims Expenses" dataDxfId="459" dataCellStyle="Currency"/>
    <tableColumn id="27" xr3:uid="{2C26484C-6B2D-4483-80EC-ACE05C64A73D}" name="2022 TOTAL Truncated Claims Expenses" dataDxfId="458" dataCellStyle="Currency"/>
    <tableColumn id="28" xr3:uid="{74D51A3C-1680-458C-8F8E-1D0BA2598A62}" name="2022 TOTAL Non-Claims Expenses" dataDxfId="457" dataCellStyle="Currency"/>
    <tableColumn id="29" xr3:uid="{9EC3FE52-4224-461B-9575-BEECFAE892A2}" name="2022 TOTAL Non-Truncated Total Expenses" dataDxfId="456" dataCellStyle="Currency"/>
    <tableColumn id="30" xr3:uid="{8E937DF9-8A62-4C15-A439-248DED26567F}" name="2022 TOTAL Truncated Total Expenses" dataDxfId="455" dataCellStyle="Currency"/>
    <tableColumn id="31" xr3:uid="{078E50B9-1829-4C43-B49F-1A1651F8518B}" name="Member Months Trend" dataDxfId="454" dataCellStyle="Percent">
      <calculatedColumnFormula>IFERROR(IF($D64=0,"NA",R64/D64-1),"NA")</calculatedColumnFormula>
    </tableColumn>
    <tableColumn id="32" xr3:uid="{C079BF84-6581-45F2-A9F5-5288A7A533F9}" name="Claims: Hospital Inpatient Trend" dataDxfId="453" dataCellStyle="Percent">
      <calculatedColumnFormula>IFERROR(IF($D64=0,"NA",S64/E64-1),"NA")</calculatedColumnFormula>
    </tableColumn>
    <tableColumn id="33" xr3:uid="{9B157A8D-F092-444B-B1BB-A995D31A7AC8}" name="Claims: Hospital Outpatient Trend" dataDxfId="452" dataCellStyle="Percent">
      <calculatedColumnFormula>IFERROR(IF($D64=0,"NA",T64/F64-1),"NA")</calculatedColumnFormula>
    </tableColumn>
    <tableColumn id="34" xr3:uid="{7A6C1277-EEDD-4738-A5B7-DDDAE0DBC03B}" name="Claims: Professional, Primary Care Trend" dataDxfId="451" dataCellStyle="Percent">
      <calculatedColumnFormula>IFERROR(IF($D64=0,"NA",U64/G64-1),"NA")</calculatedColumnFormula>
    </tableColumn>
    <tableColumn id="35" xr3:uid="{D24803A0-E667-4404-A65F-738B88E7D94C}" name="Claims: Professional, Specialty Care Trend" dataDxfId="450" dataCellStyle="Percent">
      <calculatedColumnFormula>IFERROR(IF($D64=0,"NA",V64/H64-1),"NA")</calculatedColumnFormula>
    </tableColumn>
    <tableColumn id="36" xr3:uid="{1E331C23-5136-4296-BD19-A755B151CC12}" name="Claims: Professional Other Trend" dataDxfId="449" dataCellStyle="Percent">
      <calculatedColumnFormula>IFERROR(IF($D64=0,"NA",W64/I64-1),"NA")</calculatedColumnFormula>
    </tableColumn>
    <tableColumn id="37" xr3:uid="{50C73A6D-7517-4F3B-9116-EEF03DDFB91D}" name="Claims: Pharmacy (Gross of Rebates) Trend" dataDxfId="448" dataCellStyle="Percent">
      <calculatedColumnFormula>IFERROR(IF($D64=0,"NA",X64/J64-1),"NA")</calculatedColumnFormula>
    </tableColumn>
    <tableColumn id="38" xr3:uid="{02BA8D0C-ED3F-421C-846D-2D76A52DB0B6}" name="Claims: Long-term Care  Trend" dataDxfId="447" dataCellStyle="Percent">
      <calculatedColumnFormula>IFERROR(IF($D64=0,"NA",Y64/K64-1),"NA")</calculatedColumnFormula>
    </tableColumn>
    <tableColumn id="39" xr3:uid="{EA209112-A212-4FF4-93C4-4DE4DF8109D4}" name="Claims: Other Trend" dataDxfId="446" dataCellStyle="Percent">
      <calculatedColumnFormula>IFERROR(IF($D64=0,"NA",Z64/L64-1),"NA")</calculatedColumnFormula>
    </tableColumn>
    <tableColumn id="40" xr3:uid="{2EC60CE6-97B3-47EA-BFC8-1A7872E78D05}" name="TOTAL Non-Truncated Claims Expenses Trend" dataDxfId="445" dataCellStyle="Percent">
      <calculatedColumnFormula>IFERROR(IF($D64=0,"NA",AA64/M64-1),"NA")</calculatedColumnFormula>
    </tableColumn>
    <tableColumn id="41" xr3:uid="{43061262-A5FD-4915-A364-21C451914FA1}" name="TOTAL Truncated Claims Expenses  Trend" dataDxfId="444" dataCellStyle="Percent">
      <calculatedColumnFormula>IFERROR(IF($D64=0,"NA",AB64/N64-1),"NA")</calculatedColumnFormula>
    </tableColumn>
    <tableColumn id="42" xr3:uid="{3562A168-1B0F-4979-8A8B-745362E4D9EB}" name="TOTAL Non-Claims Expenses Trend" dataDxfId="443" dataCellStyle="Percent">
      <calculatedColumnFormula>IFERROR(IF($D64=0,"NA",AC64/O64-1),"NA")</calculatedColumnFormula>
    </tableColumn>
    <tableColumn id="43" xr3:uid="{30D60C2F-100A-41AB-A5A5-F2D70A718870}" name="TOTAL Non-Truncated Total Expenses Trend" dataDxfId="442" dataCellStyle="Percent">
      <calculatedColumnFormula>IFERROR(IF($D64=0,"NA",AD64/P64-1),"NA")</calculatedColumnFormula>
    </tableColumn>
    <tableColumn id="44" xr3:uid="{EFB89808-4CF7-4542-B2ED-4EF95BA0051E}" name="TOTAL Truncated Total Expenses Trend" dataDxfId="441" dataCellStyle="Percent">
      <calculatedColumnFormula>IFERROR(IF($D64=0,"NA",AE64/Q64-1),"NA")</calculatedColumnFormula>
    </tableColumn>
  </tableColumns>
  <tableStyleInfo name="TableStyleLight8"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858CA6E4-6B34-4CA6-86D4-703420BE5B4C}" name="ValbyACO_ICC6" displayName="ValbyACO_ICC6" ref="B77:AS88" totalsRowShown="0" headerRowDxfId="440" dataDxfId="438" headerRowBorderDxfId="439" tableBorderDxfId="437" totalsRowBorderDxfId="436" dataCellStyle="Percent">
  <tableColumns count="44">
    <tableColumn id="1" xr3:uid="{AB28AEA1-32BE-40F3-A665-79FBF0872E31}" name="Org ID" dataDxfId="435"/>
    <tableColumn id="2" xr3:uid="{48836A7F-87EE-4E86-8BA6-13F7F5ACF14F}" name="ACO/AE Name" dataDxfId="434"/>
    <tableColumn id="3" xr3:uid="{581A778F-1CA5-4374-9BE0-952E82E5F580}" name="2021 Member Months" dataDxfId="433" dataCellStyle="Comma"/>
    <tableColumn id="4" xr3:uid="{C7A26BD0-6E22-46D1-9B45-54023D76C615}" name="2021 Claims: Hospital Inpatient" dataDxfId="432" dataCellStyle="Currency"/>
    <tableColumn id="5" xr3:uid="{8AFA8AAC-28C7-4EA8-82DB-4D7BF692C7E1}" name="2021 Claims: Hospital Outpatient" dataDxfId="431" dataCellStyle="Currency"/>
    <tableColumn id="6" xr3:uid="{988431A7-820F-497B-B9DE-B1BE9BF2D054}" name="2021 Claims: Professional, Primary Care" dataDxfId="430" dataCellStyle="Currency"/>
    <tableColumn id="7" xr3:uid="{B88C100D-6F13-4D9F-A76C-1AAD9FC303AE}" name="2021 Claims: Professional, Specialty Care" dataDxfId="429" dataCellStyle="Currency"/>
    <tableColumn id="8" xr3:uid="{8E77B12D-82B6-4FCE-BC15-CB6336E77F44}" name="2021 Claims: Professional Other" dataDxfId="428" dataCellStyle="Currency"/>
    <tableColumn id="9" xr3:uid="{F4F67EF9-0277-4EBC-9AA4-4D660B0B96AA}" name="2021 Claims: Pharmacy (Gross of  Rebates)" dataDxfId="427" dataCellStyle="Currency"/>
    <tableColumn id="10" xr3:uid="{506C373A-5343-47D2-8973-6828D1777499}" name="2021 Claims: Long-term Care" dataDxfId="426" dataCellStyle="Currency"/>
    <tableColumn id="11" xr3:uid="{A1EF3F2A-D636-4EF2-9261-1B797256A25D}" name="2021 Claims: Other" dataDxfId="425" dataCellStyle="Currency"/>
    <tableColumn id="12" xr3:uid="{41C500E3-E199-42DE-B49E-BB674CC914B3}" name="2021 TOTAL Non-Truncated Claims Expenses" dataDxfId="424" dataCellStyle="Currency"/>
    <tableColumn id="13" xr3:uid="{BC8CA344-5365-4705-8F96-213EBAEE7F1D}" name="2021 TOTAL Truncated Claims Expenses" dataDxfId="423" dataCellStyle="Currency"/>
    <tableColumn id="14" xr3:uid="{B7342662-898D-4C51-AC03-1B8518EED0AF}" name="2021 TOTAL Non-Claims Expenses" dataDxfId="422" dataCellStyle="Currency"/>
    <tableColumn id="15" xr3:uid="{FB65E1EA-379D-4644-AED8-D214546BEC40}" name="2021 TOTAL Non-Truncated Total Expenses" dataDxfId="421" dataCellStyle="Currency"/>
    <tableColumn id="16" xr3:uid="{27090B4B-61F0-4BC7-8334-70A99523B13A}" name="2021 TOTAL Truncated Total Expenses" dataDxfId="420" dataCellStyle="Currency"/>
    <tableColumn id="17" xr3:uid="{F51B1860-C0D2-44C6-86E7-A4CAF316187D}" name="2022 Member Months" dataDxfId="419" dataCellStyle="Comma"/>
    <tableColumn id="18" xr3:uid="{D9B37DB2-7026-4DCD-908F-D33010D74B39}" name="2022 Claims: Hospital Inpatient" dataDxfId="418" dataCellStyle="Currency"/>
    <tableColumn id="19" xr3:uid="{07FA86DA-2E2A-4E2F-AEA6-1B0FAAD03750}" name="2022 Claims: Hospital Outpatient" dataDxfId="417" dataCellStyle="Currency"/>
    <tableColumn id="20" xr3:uid="{CF8BA7CA-21FC-43C1-9B1F-111C4D2ECD92}" name="2022 Claims: Professional, Primary Care" dataDxfId="416" dataCellStyle="Currency"/>
    <tableColumn id="21" xr3:uid="{D7EB988A-2395-4164-9B3E-54585C0E8682}" name="2022 Claims: Professional, Specialty Care" dataDxfId="415" dataCellStyle="Currency"/>
    <tableColumn id="22" xr3:uid="{6AF2B287-5DC7-4EB2-B2BB-29E1191213DE}" name="2022 Claims: Professional Other" dataDxfId="414" dataCellStyle="Currency"/>
    <tableColumn id="23" xr3:uid="{E848D8FE-1C2A-44BC-9C49-B066FEFB3AF3}" name="2022 Claims: Pharmacy (Gross of Retail Pharmacy Rebates)" dataDxfId="413" dataCellStyle="Currency"/>
    <tableColumn id="24" xr3:uid="{5F66A090-9C8B-4814-9EDC-F0393D27CC51}" name="2022 Claims: Long-term Care" dataDxfId="412" dataCellStyle="Currency"/>
    <tableColumn id="25" xr3:uid="{EDBC5B2A-A8AF-4012-B6EC-1AF38A58B055}" name="2022 Claims: Other" dataDxfId="411" dataCellStyle="Currency"/>
    <tableColumn id="26" xr3:uid="{9DC0B238-D416-4D51-A1F6-1A4FEFE3D87D}" name="2022 TOTAL Non-Truncated Claims Expenses" dataDxfId="410" dataCellStyle="Currency"/>
    <tableColumn id="27" xr3:uid="{CBDDB11E-0117-4FCD-8E60-37ADAE26674F}" name="2022 TOTAL Truncated Claims Expenses" dataDxfId="409" dataCellStyle="Currency"/>
    <tableColumn id="28" xr3:uid="{3165D29D-7FD0-46D6-9D99-0656CED7ACB5}" name="2022 TOTAL Non-Claims Expenses" dataDxfId="408" dataCellStyle="Currency"/>
    <tableColumn id="29" xr3:uid="{7FC53FAF-C573-4F8E-B505-4A862B1A9AED}" name="2022 TOTAL Non-Truncated Total Expenses" dataDxfId="407" dataCellStyle="Currency"/>
    <tableColumn id="30" xr3:uid="{DC7B6427-F9C6-468E-9936-618F686724B5}" name="2022 TOTAL Truncated Total Expenses" dataDxfId="406" dataCellStyle="Currency"/>
    <tableColumn id="31" xr3:uid="{85C2CE19-F0D4-4F5E-8B46-4FFDAD1CD7A9}" name="Member Months Trend" dataDxfId="405" dataCellStyle="Percent">
      <calculatedColumnFormula>IFERROR(IF($D78=0,"NA",R78/D78-1),"NA")</calculatedColumnFormula>
    </tableColumn>
    <tableColumn id="32" xr3:uid="{BE265228-5F3B-45B3-98C5-C6687580558D}" name="Claims: Hospital Inpatient Trend" dataDxfId="404" dataCellStyle="Percent">
      <calculatedColumnFormula>IFERROR(IF($D78=0,"NA",S78/E78-1),"NA")</calculatedColumnFormula>
    </tableColumn>
    <tableColumn id="33" xr3:uid="{EBA2D782-47F5-4FB0-A972-9807A8EB10C9}" name="Claims: Hospital Outpatient Trend" dataDxfId="403" dataCellStyle="Percent">
      <calculatedColumnFormula>IFERROR(IF($D78=0,"NA",T78/F78-1),"NA")</calculatedColumnFormula>
    </tableColumn>
    <tableColumn id="34" xr3:uid="{ACC33D6C-4E90-40D1-883D-5C79786EE227}" name="Claims: Professional, Primary Care Trend" dataDxfId="402" dataCellStyle="Percent">
      <calculatedColumnFormula>IFERROR(IF($D78=0,"NA",U78/G78-1),"NA")</calculatedColumnFormula>
    </tableColumn>
    <tableColumn id="35" xr3:uid="{F388FA87-28A8-460A-B463-26E2FE8B7A78}" name="Claims: Professional, Specialty Care Trend" dataDxfId="401" dataCellStyle="Percent">
      <calculatedColumnFormula>IFERROR(IF($D78=0,"NA",V78/H78-1),"NA")</calculatedColumnFormula>
    </tableColumn>
    <tableColumn id="36" xr3:uid="{BCBE0DE4-1FB6-44E4-85DF-69A69C3BF4CF}" name="Claims: Professional Other Trend" dataDxfId="400" dataCellStyle="Percent">
      <calculatedColumnFormula>IFERROR(IF($D78=0,"NA",W78/I78-1),"NA")</calculatedColumnFormula>
    </tableColumn>
    <tableColumn id="37" xr3:uid="{A4F0331F-390E-4E61-96A9-EFF6E21F1312}" name="Claims: Pharmacy (Gross of Rebates) Trend" dataDxfId="399" dataCellStyle="Percent">
      <calculatedColumnFormula>IFERROR(IF($D78=0,"NA",X78/J78-1),"NA")</calculatedColumnFormula>
    </tableColumn>
    <tableColumn id="38" xr3:uid="{40571E23-EE3F-4661-8831-D5EF576E4A26}" name="Claims: Long-term Care  Trend" dataDxfId="398" dataCellStyle="Percent">
      <calculatedColumnFormula>IFERROR(IF($D78=0,"NA",Y78/K78-1),"NA")</calculatedColumnFormula>
    </tableColumn>
    <tableColumn id="39" xr3:uid="{1E6B938E-23B9-43DC-99AC-4C5FF9DAC555}" name="Claims: Other Trend" dataDxfId="397" dataCellStyle="Percent">
      <calculatedColumnFormula>IFERROR(IF($D78=0,"NA",Z78/L78-1),"NA")</calculatedColumnFormula>
    </tableColumn>
    <tableColumn id="40" xr3:uid="{E0E30019-EF3F-428E-A8E9-5F98F3D10FBB}" name="TOTAL Non-Truncated Claims Expenses Trend" dataDxfId="396" dataCellStyle="Percent">
      <calculatedColumnFormula>IFERROR(IF($D78=0,"NA",AA78/M78-1),"NA")</calculatedColumnFormula>
    </tableColumn>
    <tableColumn id="41" xr3:uid="{8918F405-4F0E-446B-8BB6-F0E366D1B305}" name="TOTAL Truncated Claims Expenses  Trend" dataDxfId="395" dataCellStyle="Percent">
      <calculatedColumnFormula>IFERROR(IF($D78=0,"NA",AB78/N78-1),"NA")</calculatedColumnFormula>
    </tableColumn>
    <tableColumn id="42" xr3:uid="{280FDB9A-8B35-4725-99F4-EBCCFC814A9C}" name="TOTAL Non-Claims Expenses Trend" dataDxfId="394" dataCellStyle="Percent">
      <calculatedColumnFormula>IFERROR(IF($D78=0,"NA",AC78/O78-1),"NA")</calculatedColumnFormula>
    </tableColumn>
    <tableColumn id="43" xr3:uid="{E8CFB628-6DF5-45FD-9354-A4CE6388C80A}" name="TOTAL Non-Truncated Total Expenses Trend" dataDxfId="393" dataCellStyle="Percent">
      <calculatedColumnFormula>IFERROR(IF($D78=0,"NA",AD78/P78-1),"NA")</calculatedColumnFormula>
    </tableColumn>
    <tableColumn id="44" xr3:uid="{BB9F01B9-E909-42DD-B497-DAC25576D724}" name="TOTAL Truncated Total Expenses Trend" dataDxfId="392" dataCellStyle="Percent">
      <calculatedColumnFormula>IFERROR(IF($D78=0,"NA",AE78/Q78-1),"NA")</calculatedColumnFormula>
    </tableColumn>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528A40E0-5729-47FE-A5A4-ACF5FCE4B883}" name="InitialData21" displayName="InitialData21" ref="A28:M32" totalsRowShown="0" headerRowDxfId="1029" dataDxfId="1027" headerRowBorderDxfId="1028" tableBorderDxfId="1026" totalsRowBorderDxfId="1025" dataCellStyle="Currency">
  <tableColumns count="13">
    <tableColumn id="1" xr3:uid="{D0028E12-7D78-46A4-BEEC-1BCCE169675E}" name="2020 Data Submission (Submitted in 2021)" dataDxfId="1024"/>
    <tableColumn id="2" xr3:uid="{DBB2EF3D-EAA8-4DA5-9C51-2A8A4294699C}" name="Medicare Managed Care Member Months _x000a_(ICC 1)" dataDxfId="1023"/>
    <tableColumn id="3" xr3:uid="{64C9D8A6-B699-41F8-A7BE-7AB0751CC40C}" name="Medicare Managed Care Total Expenses_x000a_(ICC 1)" dataDxfId="1022" dataCellStyle="Currency"/>
    <tableColumn id="10" xr3:uid="{2F10DFD9-24D4-440E-9BA9-491751E77DBE}" name="Medicaid Managed Care Member Months_x000a_(ICC 2)" dataDxfId="1021"/>
    <tableColumn id="4" xr3:uid="{5FE226F6-4309-426A-A09D-D026FB8AE0D2}" name="Medicaid Managed Care Total Expenses_x000a_(ICC 2)" dataDxfId="1020" dataCellStyle="Currency"/>
    <tableColumn id="11" xr3:uid="{2E7FCA41-6E50-4237-90F7-C8D222A5BB50}" name="Commercial Full Claims Member Months_x000a_(ICC 3)" dataDxfId="1019"/>
    <tableColumn id="5" xr3:uid="{3BBA4694-74B8-4D18-9BDD-EE5AD9F7EB08}" name="Commercial Full Claims Total Expenses_x000a_(ICC 3)" dataDxfId="1018" dataCellStyle="Currency"/>
    <tableColumn id="12" xr3:uid="{28839A4E-EAE0-429E-8735-9AA6DBC8F215}" name="Commercial Partial Claims Member Months_x000a_(ICC 4)" dataDxfId="1017"/>
    <tableColumn id="6" xr3:uid="{34CCB0C2-A80D-4E43-A600-75DDEA4F3379}" name="Commercial Partial Claims Total Expenses_x000a_ (ICC 4)" dataDxfId="1016" dataCellStyle="Currency"/>
    <tableColumn id="13" xr3:uid="{18896357-16A2-475E-9C3D-9DCCAC60B83F}" name="Duals Member Months_x000a_(ICC 5 + 6)" dataDxfId="1015"/>
    <tableColumn id="7" xr3:uid="{6C9F91E9-2414-49E0-B2C4-C1FFA670BFCA}" name="Duals Total Expenses_x000a_ (ICC 5 + 6)" dataDxfId="1014" dataCellStyle="Currency"/>
    <tableColumn id="14" xr3:uid="{60754BD5-BDC8-46D5-83A9-8F0A343EBF99}" name="Integrated Duals Member Months_x000a_(ICC 7)" dataDxfId="1013"/>
    <tableColumn id="9" xr3:uid="{DEB0480B-C11B-41F8-8C7A-28DDFBE94AC7}" name="Integrated Duals Total Expenses_x000a_(ICC 7)" dataDxfId="1012" dataCellStyle="Currency"/>
  </tableColumns>
  <tableStyleInfo name="TableStyleLight9"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37D054C3-96D9-4BCC-963A-256DA0DBA4A3}" name="ValbyACO_ICC1" displayName="ValbyACO_ICC1" ref="B105:AS116" totalsRowShown="0" headerRowDxfId="391" dataDxfId="389" headerRowBorderDxfId="390" tableBorderDxfId="388" totalsRowBorderDxfId="387" dataCellStyle="Percent">
  <tableColumns count="44">
    <tableColumn id="1" xr3:uid="{926546CA-3A7E-4601-865E-6A2B0F9636B3}" name="Org ID" dataDxfId="386"/>
    <tableColumn id="2" xr3:uid="{D0BBEE79-D12F-489A-9676-BF870F85D25C}" name="ACO/AE Name" dataDxfId="385"/>
    <tableColumn id="3" xr3:uid="{4E74B65A-B7A5-42FB-B986-E8553CF10AE3}" name="2021 Member Months" dataDxfId="384" dataCellStyle="Comma"/>
    <tableColumn id="4" xr3:uid="{EA726E51-8A8B-4633-ADCB-EB0FC9AB0A86}" name="2021 Claims: Hospital Inpatient" dataDxfId="383" dataCellStyle="Currency"/>
    <tableColumn id="5" xr3:uid="{4C129754-8C74-4537-A420-D517613A97B9}" name="2021 Claims: Hospital Outpatient" dataDxfId="382" dataCellStyle="Currency"/>
    <tableColumn id="6" xr3:uid="{B70D5078-B6BB-44FA-AAC5-75A4A5076C0A}" name="2021 Claims: Professional, Primary Care" dataDxfId="381" dataCellStyle="Currency"/>
    <tableColumn id="7" xr3:uid="{46B82181-CD15-48A4-B2D5-00D05734C136}" name="2021 Claims: Professional, Specialty Care" dataDxfId="380" dataCellStyle="Currency"/>
    <tableColumn id="8" xr3:uid="{3CBF704B-2DD3-4650-8FBD-C83E6D0DCD3D}" name="2021 Claims: Professional Other" dataDxfId="379" dataCellStyle="Currency"/>
    <tableColumn id="9" xr3:uid="{7D2B22E7-9BA2-48F2-AE08-5B2724C177E1}" name="2021 Claims: Pharmacy (Gross of  Rebates)" dataDxfId="378" dataCellStyle="Currency"/>
    <tableColumn id="10" xr3:uid="{5C9A4DE2-A999-4449-9D99-E7BAEEFCAD51}" name="2021 Claims: Long-term Care" dataDxfId="377" dataCellStyle="Currency"/>
    <tableColumn id="11" xr3:uid="{F344DFA8-6735-4250-B29B-491F8BBA2E34}" name="2021 Claims: Other" dataDxfId="376" dataCellStyle="Currency"/>
    <tableColumn id="12" xr3:uid="{EF3FCEFC-F093-4A82-8B64-5E81323D18B6}" name="2021 TOTAL Non-Truncated Claims Expenses" dataDxfId="375" dataCellStyle="Currency"/>
    <tableColumn id="13" xr3:uid="{8C4EFBD3-328B-4FA1-B760-912F7A1D18FA}" name="2021 TOTAL Truncated Claims Expenses" dataDxfId="374" dataCellStyle="Currency"/>
    <tableColumn id="14" xr3:uid="{DF0BECF2-2198-474C-8197-EFD3EDA0BFF2}" name="2021 TOTAL Non-Claims Expenses" dataDxfId="373" dataCellStyle="Currency"/>
    <tableColumn id="15" xr3:uid="{48F2E2EB-4877-4421-A391-AA64984CDAE9}" name="2021 TOTAL Non-Truncated Total Expenses" dataDxfId="372" dataCellStyle="Currency"/>
    <tableColumn id="16" xr3:uid="{EF03CF26-AE20-43C1-94D7-00EAB98CA1B7}" name="2021 TOTAL Truncated Total Expenses" dataDxfId="371" dataCellStyle="Currency"/>
    <tableColumn id="17" xr3:uid="{F4ECA0CC-21A0-4F55-8B40-2D7B20AC44B2}" name="2022 Member Months" dataDxfId="370" dataCellStyle="Comma"/>
    <tableColumn id="18" xr3:uid="{754B6383-7EF2-4372-B7C7-A0CF2C39DF6C}" name="2022 Claims: Hospital Inpatient" dataDxfId="369" dataCellStyle="Currency"/>
    <tableColumn id="19" xr3:uid="{C537E818-99B2-4C1C-8B0E-19C303DB0AED}" name="2022 Claims: Hospital Outpatient" dataDxfId="368" dataCellStyle="Currency"/>
    <tableColumn id="20" xr3:uid="{65E700CA-5D1A-4D48-BD80-AA6C2C04697F}" name="2022 Claims: Professional, Primary Care" dataDxfId="367" dataCellStyle="Currency"/>
    <tableColumn id="21" xr3:uid="{79CC99B1-1E08-40CC-A798-AA921BE6326A}" name="2022 Claims: Professional, Specialty Care" dataDxfId="366" dataCellStyle="Currency"/>
    <tableColumn id="22" xr3:uid="{A0D7BC37-A450-4E9F-830C-8E6074FA2D10}" name="2022 Claims: Professional Other" dataDxfId="365" dataCellStyle="Currency"/>
    <tableColumn id="23" xr3:uid="{09441E50-A080-4769-9EDB-B2A8D84FF7C3}" name="2022 Claims: Pharmacy (Gross of Retail Pharmacy Rebates)" dataDxfId="364" dataCellStyle="Currency"/>
    <tableColumn id="24" xr3:uid="{D8D9A77E-C366-4227-AF24-C0F7B2463ACB}" name="2022 Claims: Long-term Care" dataDxfId="363" dataCellStyle="Currency"/>
    <tableColumn id="25" xr3:uid="{40162036-6CE2-4595-A972-D16E0492C0E7}" name="2022 Claims: Other" dataDxfId="362" dataCellStyle="Currency"/>
    <tableColumn id="26" xr3:uid="{A82E8219-7539-4DCF-BF67-BC3F7689B521}" name="2022 TOTAL Non-Truncated Claims Expenses" dataDxfId="361" dataCellStyle="Currency"/>
    <tableColumn id="27" xr3:uid="{EECBF171-3C34-4F86-AEB4-FA391BA13058}" name="2022 TOTAL Truncated Claims Expenses" dataDxfId="360" dataCellStyle="Currency"/>
    <tableColumn id="28" xr3:uid="{A0F6AD7A-E7B6-4CDE-BD6E-ED3A95F9382F}" name="2022 TOTAL Non-Claims Expenses" dataDxfId="359" dataCellStyle="Currency"/>
    <tableColumn id="29" xr3:uid="{24F969DF-6ADA-4559-A3BF-BD90B97F9BB4}" name="2022 TOTAL Non-Truncated Total Expenses" dataDxfId="358" dataCellStyle="Currency"/>
    <tableColumn id="30" xr3:uid="{B2337B12-9D68-478D-8BA9-74CEE9910DA0}" name="2022 TOTAL Truncated Total Expenses" dataDxfId="357" dataCellStyle="Currency"/>
    <tableColumn id="31" xr3:uid="{0C3E4C29-FDC5-42EF-926A-826E77A4402F}" name="Member Months Trend" dataDxfId="356" dataCellStyle="Percent">
      <calculatedColumnFormula>IFERROR(IF($D106=0,"NA",R106/D106-1),"NA")</calculatedColumnFormula>
    </tableColumn>
    <tableColumn id="32" xr3:uid="{AEFBAE44-79AB-43F6-AB47-1C82221367EE}" name="Claims: Hospital Inpatient Trend" dataDxfId="355" dataCellStyle="Percent">
      <calculatedColumnFormula>IFERROR(IF($D106=0,"NA",S106/E106-1),"NA")</calculatedColumnFormula>
    </tableColumn>
    <tableColumn id="33" xr3:uid="{0CA21C30-E601-435D-8730-D523B4DA97F3}" name="Claims: Hospital Outpatient Trend" dataDxfId="354" dataCellStyle="Percent">
      <calculatedColumnFormula>IFERROR(IF($D106=0,"NA",T106/F106-1),"NA")</calculatedColumnFormula>
    </tableColumn>
    <tableColumn id="34" xr3:uid="{5AD81603-02D7-4C01-9959-6E21FAF90514}" name="Claims: Professional, Primary Care Trend" dataDxfId="353" dataCellStyle="Percent">
      <calculatedColumnFormula>IFERROR(IF($D106=0,"NA",U106/G106-1),"NA")</calculatedColumnFormula>
    </tableColumn>
    <tableColumn id="35" xr3:uid="{FEAAFC60-2D79-4B12-B295-9E1A02A05D1C}" name="Claims: Professional, Specialty Care Trend" dataDxfId="352" dataCellStyle="Percent">
      <calculatedColumnFormula>IFERROR(IF($D106=0,"NA",V106/H106-1),"NA")</calculatedColumnFormula>
    </tableColumn>
    <tableColumn id="36" xr3:uid="{110F996C-6E76-4A87-A974-A0C477839F25}" name="Claims: Professional Other Trend" dataDxfId="351" dataCellStyle="Percent">
      <calculatedColumnFormula>IFERROR(IF($D106=0,"NA",W106/I106-1),"NA")</calculatedColumnFormula>
    </tableColumn>
    <tableColumn id="37" xr3:uid="{102DF634-58AA-44D2-8DDB-91BDC4D328A8}" name="Claims: Pharmacy (Gross of Rebates) Trend" dataDxfId="350" dataCellStyle="Percent">
      <calculatedColumnFormula>IFERROR(IF($D106=0,"NA",X106/J106-1),"NA")</calculatedColumnFormula>
    </tableColumn>
    <tableColumn id="38" xr3:uid="{155BAC3D-CA8D-4042-A289-0B528072685F}" name="Claims: Long-term Care  Trend" dataDxfId="349" dataCellStyle="Percent">
      <calculatedColumnFormula>IFERROR(IF($D106=0,"NA",Y106/K106-1),"NA")</calculatedColumnFormula>
    </tableColumn>
    <tableColumn id="39" xr3:uid="{DDC0FA16-6DA8-4BD9-A2B1-C7D91A0B997D}" name="Claims: Other Trend" dataDxfId="348" dataCellStyle="Percent">
      <calculatedColumnFormula>IFERROR(IF($D106=0,"NA",Z106/L106-1),"NA")</calculatedColumnFormula>
    </tableColumn>
    <tableColumn id="40" xr3:uid="{CA4B30BF-DF14-4AB8-B2E2-C9BA8E99FEC8}" name="TOTAL Non-Truncated Claims Expenses Trend" dataDxfId="347" dataCellStyle="Percent">
      <calculatedColumnFormula>IFERROR(IF($D106=0,"NA",AA106/M106-1),"NA")</calculatedColumnFormula>
    </tableColumn>
    <tableColumn id="41" xr3:uid="{8E8B8603-1420-4E38-B36E-D3BCFB00EB9C}" name="TOTAL Truncated Claims Expenses  Trend" dataDxfId="346" dataCellStyle="Percent">
      <calculatedColumnFormula>IFERROR(IF($D106=0,"NA",AB106/N106-1),"NA")</calculatedColumnFormula>
    </tableColumn>
    <tableColumn id="42" xr3:uid="{1ABD214D-D6C4-4B22-B279-7D19FFF02824}" name="TOTAL Non-Claims Expenses Trend" dataDxfId="345" dataCellStyle="Percent">
      <calculatedColumnFormula>IFERROR(IF($D106=0,"NA",AC106/O106-1),"NA")</calculatedColumnFormula>
    </tableColumn>
    <tableColumn id="43" xr3:uid="{2A55C42A-DC24-4478-9BE6-0D2A7E62E67F}" name="TOTAL Non-Truncated Total Expenses Trend" dataDxfId="344" dataCellStyle="Percent">
      <calculatedColumnFormula>IFERROR(IF($D106=0,"NA",AD106/P106-1),"NA")</calculatedColumnFormula>
    </tableColumn>
    <tableColumn id="44" xr3:uid="{4E245DCD-D49D-4D27-94C5-9246397384CD}" name="TOTAL Truncated Total Expenses Trend" dataDxfId="343" dataCellStyle="Percent">
      <calculatedColumnFormula>IFERROR(IF($D106=0,"NA",AE106/Q106-1),"NA")</calculatedColumnFormula>
    </tableColumn>
  </tableColumns>
  <tableStyleInfo name="TableStyleLight8"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5485F24B-FD6A-41BC-AE4A-E5418BCABAB8}" name="ValbyACO_ICC5" displayName="ValbyACO_ICC5" ref="B119:AS130" totalsRowShown="0" headerRowDxfId="342" dataDxfId="340" headerRowBorderDxfId="341" tableBorderDxfId="339" totalsRowBorderDxfId="338" dataCellStyle="Percent">
  <tableColumns count="44">
    <tableColumn id="1" xr3:uid="{12118C4E-E660-4DDD-8AFC-37534C751704}" name="Org ID" dataDxfId="337"/>
    <tableColumn id="2" xr3:uid="{A7EA270E-9BDC-4894-A1FC-4C66ACDA2142}" name="ACO/AE Name" dataDxfId="336"/>
    <tableColumn id="3" xr3:uid="{69FC56C0-5CD6-4441-8D57-6755274E643D}" name="2021 Member Months" dataDxfId="335" dataCellStyle="Comma"/>
    <tableColumn id="4" xr3:uid="{93A7F691-E02C-431D-AF64-584E07CB73A4}" name="2021 Claims: Hospital Inpatient" dataDxfId="334" dataCellStyle="Currency"/>
    <tableColumn id="5" xr3:uid="{DA291F22-D6DC-4D3E-8A73-3A2FDC22AA8C}" name="2021 Claims: Hospital Outpatient" dataDxfId="333" dataCellStyle="Currency"/>
    <tableColumn id="6" xr3:uid="{690D6A55-F115-481A-8B2A-7C55B3ACA933}" name="2021 Claims: Professional, Primary Care" dataDxfId="332" dataCellStyle="Currency"/>
    <tableColumn id="7" xr3:uid="{6590D4BB-5FD3-4E85-A306-A07D26752C67}" name="2021 Claims: Professional, Specialty Care" dataDxfId="331" dataCellStyle="Currency"/>
    <tableColumn id="8" xr3:uid="{0D26FBF3-2FBE-4529-BC26-BCBDD0F98414}" name="2021 Claims: Professional Other" dataDxfId="330" dataCellStyle="Currency"/>
    <tableColumn id="9" xr3:uid="{31A50F6D-1DD3-4209-9746-140DAD98D153}" name="2021 Claims: Pharmacy (Gross of  Rebates)" dataDxfId="329" dataCellStyle="Currency"/>
    <tableColumn id="10" xr3:uid="{9F9099E5-4F62-4D06-A61B-300F84681736}" name="2021 Claims: Long-term Care" dataDxfId="328" dataCellStyle="Currency"/>
    <tableColumn id="11" xr3:uid="{4EE39076-AA9D-4A11-9BD6-0A094FC49319}" name="2021 Claims: Other" dataDxfId="327" dataCellStyle="Currency"/>
    <tableColumn id="12" xr3:uid="{6998DF25-8C53-4C3F-AE56-4703E059B657}" name="2021 TOTAL Non-Truncated Claims Expenses" dataDxfId="326" dataCellStyle="Currency"/>
    <tableColumn id="13" xr3:uid="{825F6B4B-1C0B-42F5-B6A3-D0DD35891BE8}" name="2021 TOTAL Truncated Claims Expenses" dataDxfId="325" dataCellStyle="Currency"/>
    <tableColumn id="14" xr3:uid="{FCA44159-998B-49C3-9437-C9F7631AD995}" name="2021 TOTAL Non-Claims Expenses" dataDxfId="324" dataCellStyle="Currency"/>
    <tableColumn id="15" xr3:uid="{A74A3849-2F0A-4367-9735-99A3663B2C09}" name="2021 TOTAL Non-Truncated Total Expenses" dataDxfId="323" dataCellStyle="Currency"/>
    <tableColumn id="16" xr3:uid="{0E261576-CD81-48FB-9FAC-68ED64018EBB}" name="2021 TOTAL Truncated Total Expenses" dataDxfId="322" dataCellStyle="Currency"/>
    <tableColumn id="17" xr3:uid="{9001C384-8B6A-4761-B0B3-860653BF85D4}" name="2022 Member Months" dataDxfId="321" dataCellStyle="Comma"/>
    <tableColumn id="18" xr3:uid="{06A922FC-47FB-4C4F-975C-3ECDF5DD30D7}" name="2022 Claims: Hospital Inpatient" dataDxfId="320" dataCellStyle="Currency"/>
    <tableColumn id="19" xr3:uid="{D2089240-9712-46F3-82A3-27C492CD3EA7}" name="2022 Claims: Hospital Outpatient" dataDxfId="319" dataCellStyle="Currency"/>
    <tableColumn id="20" xr3:uid="{EE53AC8E-EA0A-4DA0-80E3-F7B626E506CA}" name="2022 Claims: Professional, Primary Care" dataDxfId="318" dataCellStyle="Currency"/>
    <tableColumn id="21" xr3:uid="{A5FDE7C4-A2E5-4C21-81D8-A57D7610F64F}" name="2022 Claims: Professional, Specialty Care" dataDxfId="317" dataCellStyle="Currency"/>
    <tableColumn id="22" xr3:uid="{67D7A932-D039-41FF-B84B-8CF5FA389932}" name="2022 Claims: Professional Other" dataDxfId="316" dataCellStyle="Currency"/>
    <tableColumn id="23" xr3:uid="{1024DE08-F319-487E-BDE6-9FCCAEF110AE}" name="2022 Claims: Pharmacy (Gross of Retail Pharmacy Rebates)" dataDxfId="315" dataCellStyle="Currency"/>
    <tableColumn id="24" xr3:uid="{8BD0918F-E3F7-481A-9D59-C76157A33E93}" name="2022 Claims: Long-term Care" dataDxfId="314" dataCellStyle="Currency"/>
    <tableColumn id="25" xr3:uid="{0DC2B996-5647-46FD-A311-3DEECF024382}" name="2022 Claims: Other" dataDxfId="313" dataCellStyle="Currency"/>
    <tableColumn id="26" xr3:uid="{D361A57B-BF16-482D-A3FD-E23FB9C36E6A}" name="2022 TOTAL Non-Truncated Claims Expenses" dataDxfId="312" dataCellStyle="Currency"/>
    <tableColumn id="27" xr3:uid="{9872E6BE-1996-422C-8B8B-40FC27DA838B}" name="2022 TOTAL Truncated Claims Expenses" dataDxfId="311" dataCellStyle="Currency"/>
    <tableColumn id="28" xr3:uid="{DEC13B35-3092-4697-B20F-D88CE1EC7A06}" name="2022 TOTAL Non-Claims Expenses" dataDxfId="310" dataCellStyle="Currency"/>
    <tableColumn id="29" xr3:uid="{86AE9291-FA76-4BD8-BAD6-A2D1F5A32A65}" name="2022 TOTAL Non-Truncated Total Expenses" dataDxfId="309" dataCellStyle="Currency"/>
    <tableColumn id="30" xr3:uid="{F507C5A7-EA12-46A7-BFCD-96C6E25B3D65}" name="2022 TOTAL Truncated Total Expenses" dataDxfId="308" dataCellStyle="Currency"/>
    <tableColumn id="31" xr3:uid="{010C42C4-289D-4F5A-B280-DB115B17845A}" name="Member Months Trend" dataDxfId="307" dataCellStyle="Percent">
      <calculatedColumnFormula>IFERROR(IF($D120=0,"NA",R120/D120-1),"NA")</calculatedColumnFormula>
    </tableColumn>
    <tableColumn id="32" xr3:uid="{BE29FA2A-4B05-4AF3-BC93-E5E81FA526B7}" name="Claims: Hospital Inpatient Trend" dataDxfId="306" dataCellStyle="Percent">
      <calculatedColumnFormula>IFERROR(IF($D120=0,"NA",S120/E120-1),"NA")</calculatedColumnFormula>
    </tableColumn>
    <tableColumn id="33" xr3:uid="{9C27F725-558C-4AAD-8C72-790A5F4F4ABB}" name="Claims: Hospital Outpatient Trend" dataDxfId="305" dataCellStyle="Percent">
      <calculatedColumnFormula>IFERROR(IF($D120=0,"NA",T120/F120-1),"NA")</calculatedColumnFormula>
    </tableColumn>
    <tableColumn id="34" xr3:uid="{EFA18DE0-EA34-4131-B5E3-40A903C3F475}" name="Claims: Professional, Primary Care Trend" dataDxfId="304" dataCellStyle="Percent">
      <calculatedColumnFormula>IFERROR(IF($D120=0,"NA",U120/G120-1),"NA")</calculatedColumnFormula>
    </tableColumn>
    <tableColumn id="35" xr3:uid="{6480647E-FD15-4087-B2A1-755A8C5A933D}" name="Claims: Professional, Specialty Care Trend" dataDxfId="303" dataCellStyle="Percent">
      <calculatedColumnFormula>IFERROR(IF($D120=0,"NA",V120/H120-1),"NA")</calculatedColumnFormula>
    </tableColumn>
    <tableColumn id="36" xr3:uid="{F469BF6F-E8B2-4AC4-B578-7A257A62E40D}" name="Claims: Professional Other Trend" dataDxfId="302" dataCellStyle="Percent">
      <calculatedColumnFormula>IFERROR(IF($D120=0,"NA",W120/I120-1),"NA")</calculatedColumnFormula>
    </tableColumn>
    <tableColumn id="37" xr3:uid="{60688EE9-F046-4E9D-A647-E8F07AAFD6BF}" name="Claims: Pharmacy (Gross of Rebates) Trend" dataDxfId="301" dataCellStyle="Percent">
      <calculatedColumnFormula>IFERROR(IF($D120=0,"NA",X120/J120-1),"NA")</calculatedColumnFormula>
    </tableColumn>
    <tableColumn id="38" xr3:uid="{355ABEE0-6992-49E3-AFF6-420B52FCDF86}" name="Claims: Long-term Care  Trend" dataDxfId="300" dataCellStyle="Percent">
      <calculatedColumnFormula>IFERROR(IF($D120=0,"NA",Y120/K120-1),"NA")</calculatedColumnFormula>
    </tableColumn>
    <tableColumn id="39" xr3:uid="{F64FB662-1F55-4D36-BAE1-F34EFC8AB759}" name="Claims: Other Trend" dataDxfId="299" dataCellStyle="Percent">
      <calculatedColumnFormula>IFERROR(IF($D120=0,"NA",Z120/L120-1),"NA")</calculatedColumnFormula>
    </tableColumn>
    <tableColumn id="40" xr3:uid="{459CDBC6-79DA-4E28-99CC-DD255AA5748D}" name="TOTAL Non-Truncated Claims Expenses Trend" dataDxfId="298" dataCellStyle="Percent">
      <calculatedColumnFormula>IFERROR(IF($D120=0,"NA",AA120/M120-1),"NA")</calculatedColumnFormula>
    </tableColumn>
    <tableColumn id="41" xr3:uid="{836B114A-C7CF-4908-8141-FE4FB142A2DA}" name="TOTAL Truncated Claims Expenses  Trend" dataDxfId="297" dataCellStyle="Percent">
      <calculatedColumnFormula>IFERROR(IF($D120=0,"NA",AB120/N120-1),"NA")</calculatedColumnFormula>
    </tableColumn>
    <tableColumn id="42" xr3:uid="{D9947BB9-9271-4CDD-A8D1-DA1A0D561794}" name="TOTAL Non-Claims Expenses Trend" dataDxfId="296" dataCellStyle="Percent">
      <calculatedColumnFormula>IFERROR(IF($D120=0,"NA",AC120/O120-1),"NA")</calculatedColumnFormula>
    </tableColumn>
    <tableColumn id="43" xr3:uid="{77F78BC7-A895-4E70-978E-1170E063BEC1}" name="TOTAL Non-Truncated Total Expenses Trend" dataDxfId="295" dataCellStyle="Percent">
      <calculatedColumnFormula>IFERROR(IF($D120=0,"NA",AD120/P120-1),"NA")</calculatedColumnFormula>
    </tableColumn>
    <tableColumn id="44" xr3:uid="{20FB3CE2-E260-49DA-9452-DA890EB88653}" name="TOTAL Truncated Total Expenses Trend" dataDxfId="294" dataCellStyle="Percent">
      <calculatedColumnFormula>IFERROR(IF($D120=0,"NA",AE120/Q120-1),"NA")</calculatedColumnFormula>
    </tableColumn>
  </tableColumns>
  <tableStyleInfo name="TableStyleLight8"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6E3AF53C-FFB4-4B46-945C-A7EB8464A8FF}" name="ValbyACO_ICC7" displayName="ValbyACO_ICC7" ref="B133:AS144" totalsRowShown="0" headerRowDxfId="293" dataDxfId="291" headerRowBorderDxfId="292" tableBorderDxfId="290" totalsRowBorderDxfId="289" dataCellStyle="Percent">
  <tableColumns count="44">
    <tableColumn id="1" xr3:uid="{965C40A0-D676-402D-9EA9-DE5755110309}" name="Org ID" dataDxfId="288"/>
    <tableColumn id="2" xr3:uid="{E8A647A0-401B-4B2A-9E8A-320315A493F0}" name="ACO/AE Name" dataDxfId="287"/>
    <tableColumn id="3" xr3:uid="{E9D48CA4-EA03-4082-A45E-649E9801B34D}" name="2021 Member Months" dataDxfId="286" dataCellStyle="Comma"/>
    <tableColumn id="4" xr3:uid="{55E4ADF1-E5D2-4C22-B473-0C0BD2D81F6A}" name="2021 Claims: Hospital Inpatient" dataDxfId="285" dataCellStyle="Currency"/>
    <tableColumn id="5" xr3:uid="{31B21E6C-F040-4560-B1B8-DC2D9AE4C2F0}" name="2021 Claims: Hospital Outpatient" dataDxfId="284" dataCellStyle="Currency"/>
    <tableColumn id="6" xr3:uid="{77DE5B67-7FD0-4144-BEA6-93F24E0AF61F}" name="2021 Claims: Professional, Primary Care" dataDxfId="283" dataCellStyle="Currency"/>
    <tableColumn id="7" xr3:uid="{330F3EF4-821D-45F8-A8EB-167D3B8A6852}" name="2021 Claims: Professional, Specialty Care" dataDxfId="282" dataCellStyle="Currency"/>
    <tableColumn id="8" xr3:uid="{32C2C895-30B2-4ADA-820F-F2060CA6B056}" name="2021 Claims: Professional Other" dataDxfId="281" dataCellStyle="Currency"/>
    <tableColumn id="9" xr3:uid="{13E7E36B-509B-4913-BCE1-DE31060B5A33}" name="2021 Claims: Pharmacy (Gross of  Rebates)" dataDxfId="280" dataCellStyle="Currency"/>
    <tableColumn id="10" xr3:uid="{FC2A7507-DC4F-4E85-BD88-E18F15A436A4}" name="2021 Claims: Long-term Care" dataDxfId="279" dataCellStyle="Currency"/>
    <tableColumn id="11" xr3:uid="{8F7EBB70-21D4-4B71-87B8-428131A9F1BC}" name="2021 Claims: Other" dataDxfId="278" dataCellStyle="Currency"/>
    <tableColumn id="12" xr3:uid="{E9487991-C294-4BA0-ABE9-E05E536F25B2}" name="2021 TOTAL Non-Truncated Claims Expenses" dataDxfId="277" dataCellStyle="Currency"/>
    <tableColumn id="13" xr3:uid="{DEF11086-714B-4B6A-B499-2662B7A9EE2C}" name="2021 TOTAL Truncated Claims Expenses" dataDxfId="276" dataCellStyle="Currency"/>
    <tableColumn id="14" xr3:uid="{3DA89940-8C95-4563-83F2-532D31BD7523}" name="2021 TOTAL Non-Claims Expenses" dataDxfId="275" dataCellStyle="Currency"/>
    <tableColumn id="15" xr3:uid="{818B8356-5929-454C-B8A1-D1425918C1A0}" name="2021 TOTAL Non-Truncated Total Expenses" dataDxfId="274" dataCellStyle="Currency"/>
    <tableColumn id="16" xr3:uid="{2A84830C-E4A2-49FE-B56C-8C396510EC94}" name="2021 TOTAL Truncated Total Expenses" dataDxfId="273" dataCellStyle="Currency"/>
    <tableColumn id="17" xr3:uid="{456FB93D-830A-4333-B818-BF6AF8207B21}" name="2022 Member Months" dataDxfId="272" dataCellStyle="Comma"/>
    <tableColumn id="18" xr3:uid="{52DEC482-B806-4420-9067-ACFFC5291295}" name="2022 Claims: Hospital Inpatient" dataDxfId="271" dataCellStyle="Currency"/>
    <tableColumn id="19" xr3:uid="{6E0DA4A1-3E85-4A2A-9F27-AD45DA2945A1}" name="2022 Claims: Hospital Outpatient" dataDxfId="270" dataCellStyle="Currency"/>
    <tableColumn id="20" xr3:uid="{481F21A8-E8F4-4972-B5EB-06B56D49A0A3}" name="2022 Claims: Professional, Primary Care" dataDxfId="269" dataCellStyle="Currency"/>
    <tableColumn id="21" xr3:uid="{1D70A3F7-CC2B-402C-B8D1-58F3D8EA258E}" name="2022 Claims: Professional, Specialty Care" dataDxfId="268" dataCellStyle="Currency"/>
    <tableColumn id="22" xr3:uid="{5368348C-8B29-4730-96BD-0DA4D59FEF2B}" name="2022 Claims: Professional Other" dataDxfId="267" dataCellStyle="Currency"/>
    <tableColumn id="23" xr3:uid="{CA2C0CC3-1B72-4E58-8519-5F668609F850}" name="2022 Claims: Pharmacy (Gross of Retail Pharmacy Rebates)" dataDxfId="266" dataCellStyle="Currency"/>
    <tableColumn id="24" xr3:uid="{C85034BF-06EC-4DD7-81A4-50C946F0D9B5}" name="2022 Claims: Long-term Care" dataDxfId="265" dataCellStyle="Currency"/>
    <tableColumn id="25" xr3:uid="{5B76984A-987E-4555-A757-8849F8DE5715}" name="2022 Claims: Other" dataDxfId="264" dataCellStyle="Currency"/>
    <tableColumn id="26" xr3:uid="{4F6E1B8A-F366-4599-AAAD-104697D75340}" name="2022 TOTAL Non-Truncated Claims Expenses" dataDxfId="263" dataCellStyle="Currency"/>
    <tableColumn id="27" xr3:uid="{19D19AE1-CBAD-4EB1-897B-C9DAB06019B5}" name="2022 TOTAL Truncated Claims Expenses" dataDxfId="262" dataCellStyle="Currency"/>
    <tableColumn id="28" xr3:uid="{BEB98CCB-1A9A-4BA7-9820-D9CB72E07AE6}" name="2022 TOTAL Non-Claims Expenses" dataDxfId="261" dataCellStyle="Currency"/>
    <tableColumn id="29" xr3:uid="{44EC2A3A-B996-497A-9851-DBDE69947E74}" name="2022 TOTAL Non-Truncated Total Expenses" dataDxfId="260" dataCellStyle="Currency"/>
    <tableColumn id="30" xr3:uid="{483BBCB3-6E71-4644-AE6A-27B9C0BF1945}" name="2022 TOTAL Truncated Total Expenses" dataDxfId="259" dataCellStyle="Currency"/>
    <tableColumn id="31" xr3:uid="{E24F404D-B5E6-40EA-9654-8FF20D143629}" name="Member Months Trend" dataDxfId="258" dataCellStyle="Percent">
      <calculatedColumnFormula>IFERROR(IF($D134=0,"NA",R134/D134-1),"NA")</calculatedColumnFormula>
    </tableColumn>
    <tableColumn id="32" xr3:uid="{10A97153-4598-4353-B1BE-C67884E06660}" name="Claims: Hospital Inpatient Trend" dataDxfId="257" dataCellStyle="Percent">
      <calculatedColumnFormula>IFERROR(IF($D134=0,"NA",S134/E134-1),"NA")</calculatedColumnFormula>
    </tableColumn>
    <tableColumn id="33" xr3:uid="{4D31063B-16F2-41B7-9E99-831777BBF6B8}" name="Claims: Hospital Outpatient Trend" dataDxfId="256" dataCellStyle="Percent">
      <calculatedColumnFormula>IFERROR(IF($D134=0,"NA",T134/F134-1),"NA")</calculatedColumnFormula>
    </tableColumn>
    <tableColumn id="34" xr3:uid="{97B70BB0-F00A-49BE-B0A5-9D660E927273}" name="Claims: Professional, Primary Care Trend" dataDxfId="255" dataCellStyle="Percent">
      <calculatedColumnFormula>IFERROR(IF($D134=0,"NA",U134/G134-1),"NA")</calculatedColumnFormula>
    </tableColumn>
    <tableColumn id="35" xr3:uid="{5C81302D-9B12-45C9-B5C4-06F95C9A103C}" name="Claims: Professional, Specialty Care Trend" dataDxfId="254" dataCellStyle="Percent">
      <calculatedColumnFormula>IFERROR(IF($D134=0,"NA",V134/H134-1),"NA")</calculatedColumnFormula>
    </tableColumn>
    <tableColumn id="36" xr3:uid="{21C73791-3226-4EBE-AB08-81D60DC375BB}" name="Claims: Professional Other Trend" dataDxfId="253" dataCellStyle="Percent">
      <calculatedColumnFormula>IFERROR(IF($D134=0,"NA",W134/I134-1),"NA")</calculatedColumnFormula>
    </tableColumn>
    <tableColumn id="37" xr3:uid="{403D0BB1-2D4C-447A-AA80-E1D31A1C893B}" name="Claims: Pharmacy (Gross of Rebates) Trend" dataDxfId="252" dataCellStyle="Percent">
      <calculatedColumnFormula>IFERROR(IF($D134=0,"NA",X134/J134-1),"NA")</calculatedColumnFormula>
    </tableColumn>
    <tableColumn id="38" xr3:uid="{DFC0DB32-92A3-42F0-9EE8-4BA67C950236}" name="Claims: Long-term Care  Trend" dataDxfId="251" dataCellStyle="Percent">
      <calculatedColumnFormula>IFERROR(IF($D134=0,"NA",Y134/K134-1),"NA")</calculatedColumnFormula>
    </tableColumn>
    <tableColumn id="39" xr3:uid="{12DCF861-15F7-4CA1-B08D-EC7F3C37B814}" name="Claims: Other Trend" dataDxfId="250" dataCellStyle="Percent">
      <calculatedColumnFormula>IFERROR(IF($D134=0,"NA",Z134/L134-1),"NA")</calculatedColumnFormula>
    </tableColumn>
    <tableColumn id="40" xr3:uid="{F5084BFA-DCE4-4D96-A1F4-612582252E7E}" name="TOTAL Non-Truncated Claims Expenses Trend" dataDxfId="249" dataCellStyle="Percent">
      <calculatedColumnFormula>IFERROR(IF($D134=0,"NA",AA134/M134-1),"NA")</calculatedColumnFormula>
    </tableColumn>
    <tableColumn id="41" xr3:uid="{42D6D6C7-FF1B-46FD-9894-02F75255CF0F}" name="TOTAL Truncated Claims Expenses  Trend" dataDxfId="248" dataCellStyle="Percent">
      <calculatedColumnFormula>IFERROR(IF($D134=0,"NA",AB134/N134-1),"NA")</calculatedColumnFormula>
    </tableColumn>
    <tableColumn id="42" xr3:uid="{17B55CAF-43C3-4FEF-8CB4-6C938D73072B}" name="TOTAL Non-Claims Expenses Trend" dataDxfId="247" dataCellStyle="Percent">
      <calculatedColumnFormula>IFERROR(IF($D134=0,"NA",AC134/O134-1),"NA")</calculatedColumnFormula>
    </tableColumn>
    <tableColumn id="43" xr3:uid="{7E8937F7-969B-4A22-B3C2-2F463357E1BB}" name="TOTAL Non-Truncated Total Expenses Trend" dataDxfId="246" dataCellStyle="Percent">
      <calculatedColumnFormula>IFERROR(IF($D134=0,"NA",AD134/P134-1),"NA")</calculatedColumnFormula>
    </tableColumn>
    <tableColumn id="44" xr3:uid="{273DE939-1F6B-4080-A64B-25E5E362B285}" name="TOTAL Truncated Total Expenses Trend" dataDxfId="245" dataCellStyle="Percent">
      <calculatedColumnFormula>IFERROR(IF($D134=0,"NA",AE134/Q134-1),"NA")</calculatedColumnFormula>
    </tableColumn>
  </tableColumns>
  <tableStyleInfo name="TableStyleLight8"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9D96F582-04A1-4A52-B72F-27B3B5B3A2CC}" name="ValbyACO_MCare" displayName="ValbyACO_MCare" ref="B91:AS102" totalsRowShown="0" headerRowDxfId="244" dataDxfId="242" headerRowBorderDxfId="243" tableBorderDxfId="241" totalsRowBorderDxfId="240" dataCellStyle="Percent">
  <tableColumns count="44">
    <tableColumn id="1" xr3:uid="{267D2502-563D-4C1A-A41D-4BF2F34954A7}" name="Org ID" dataDxfId="239"/>
    <tableColumn id="2" xr3:uid="{2015784F-B9EF-430A-972E-F4AA3FCA91CD}" name="ACO/AE Name" dataDxfId="238"/>
    <tableColumn id="3" xr3:uid="{5DF93501-77D4-44B7-A385-0620206B21D0}" name="2021 Member Months (sum of ICC1 + 5)" dataDxfId="237" dataCellStyle="Comma"/>
    <tableColumn id="4" xr3:uid="{99CC364D-CFF9-4279-BC56-9EF06C290E0A}" name="2021 Claims: Hospital Inpatient" dataDxfId="236" dataCellStyle="Currency">
      <calculatedColumnFormula>IF(D92=0,"NA",(SUMPRODUCT(E106,D106)+SUMPRODUCT(E120,D120))/D92)</calculatedColumnFormula>
    </tableColumn>
    <tableColumn id="5" xr3:uid="{81ACD34D-39EB-402D-A3A1-048DD7C12D79}" name="2021 Claims: Hospital Outpatient" dataDxfId="235" dataCellStyle="Currency">
      <calculatedColumnFormula>IF(D92=0,"NA",(SUMPRODUCT(F106,D106)+SUMPRODUCT(F120,D120))/D92)</calculatedColumnFormula>
    </tableColumn>
    <tableColumn id="6" xr3:uid="{30DC1995-0455-4D88-BA48-3E11BC42BFC5}" name="2021 Claims: Professional, Primary Care" dataDxfId="234" dataCellStyle="Currency">
      <calculatedColumnFormula>IF(D92=0,"NA",(SUMPRODUCT(G106,D106)+SUMPRODUCT(G120,D120))/D92)</calculatedColumnFormula>
    </tableColumn>
    <tableColumn id="7" xr3:uid="{4BEE10C7-6294-4FCC-99E1-24CD998870E8}" name="2021 Claims: Professional, Specialty Care" dataDxfId="233" dataCellStyle="Currency">
      <calculatedColumnFormula>IF(D92=0,"NA",(SUMPRODUCT(H106,D106)+SUMPRODUCT(H120,D120))/D92)</calculatedColumnFormula>
    </tableColumn>
    <tableColumn id="8" xr3:uid="{B13E15AC-1E98-47A0-92E3-DCC4CEBEF7CC}" name="2021 Claims: Professional Other" dataDxfId="232" dataCellStyle="Currency">
      <calculatedColumnFormula>IF(D92=0,"NA",(SUMPRODUCT(I106,D106)+SUMPRODUCT(I120,D120))/D92)</calculatedColumnFormula>
    </tableColumn>
    <tableColumn id="9" xr3:uid="{C2D2D0C2-F8DC-4900-AB60-FE166F12925B}" name="2021 Claims: Pharmacy (Gross of  Rebates)" dataDxfId="231" dataCellStyle="Currency">
      <calculatedColumnFormula>IF(D92=0,"NA",(SUMPRODUCT(J106,D106)+SUMPRODUCT(J120,D120))/D92)</calculatedColumnFormula>
    </tableColumn>
    <tableColumn id="10" xr3:uid="{E7F1B1D7-2A9E-4733-B3D4-3D5C1C20085B}" name="2021 Claims: Long-term Care" dataDxfId="230" dataCellStyle="Currency">
      <calculatedColumnFormula>IF(D92=0,"NA",(SUMPRODUCT(K106,D106)+SUMPRODUCT(K120,D120))/D92)</calculatedColumnFormula>
    </tableColumn>
    <tableColumn id="11" xr3:uid="{EDBEF4E5-2BC5-4728-B2CC-71FE6166F699}" name="2021 Claims: Other" dataDxfId="229" dataCellStyle="Currency">
      <calculatedColumnFormula>IF(D92=0,"NA",(SUMPRODUCT(L106,D106)+SUMPRODUCT(L120,D120))/D92)</calculatedColumnFormula>
    </tableColumn>
    <tableColumn id="12" xr3:uid="{7FAE3F4B-9638-429B-AD24-43FED5C24F85}" name="2021 TOTAL Non-Truncated Claims Expenses" dataDxfId="228" dataCellStyle="Currency">
      <calculatedColumnFormula>IF(D92=0,"NA",(SUMPRODUCT(M106,D106)+SUMPRODUCT(M120,D120))/D92)</calculatedColumnFormula>
    </tableColumn>
    <tableColumn id="13" xr3:uid="{51C80D83-D2DA-4C36-931A-572A623D6F88}" name="2021 TOTAL Truncated Claims Expenses" dataDxfId="227" dataCellStyle="Currency">
      <calculatedColumnFormula>IF(D92=0,"NA",(SUMPRODUCT(N106,D106)+SUMPRODUCT(N120,D120))/D92)</calculatedColumnFormula>
    </tableColumn>
    <tableColumn id="14" xr3:uid="{8D6C8C5F-B45C-4806-95E2-AF92BF5F6C59}" name="2021 TOTAL Non-Claims Expenses" dataDxfId="226" dataCellStyle="Currency">
      <calculatedColumnFormula>IF(D92=0,"NA",(SUMPRODUCT(O106,D106)+SUMPRODUCT(O120,D120))/D92)</calculatedColumnFormula>
    </tableColumn>
    <tableColumn id="15" xr3:uid="{BC4EA1F4-1E43-4C49-905D-5C50AEABA002}" name="2021 TOTAL Non-Truncated Total Expenses" dataDxfId="225" dataCellStyle="Currency">
      <calculatedColumnFormula>IF(D92=0,"NA",(SUMPRODUCT(P106,D106)+SUMPRODUCT(P120,D120))/D92)</calculatedColumnFormula>
    </tableColumn>
    <tableColumn id="16" xr3:uid="{AAD23623-8AFC-4735-886A-5D01E808540F}" name="2021 TOTAL Truncated Total Expenses" dataDxfId="224" dataCellStyle="Currency">
      <calculatedColumnFormula>IF(D92=0,"NA",(SUMPRODUCT(Q106,D106)+SUMPRODUCT(Q120,D120))/D92)</calculatedColumnFormula>
    </tableColumn>
    <tableColumn id="17" xr3:uid="{23A4D20E-0F70-486A-95EF-41FD39394AC4}" name="2022 Member Months (sum of ICC1+ 5)" dataDxfId="223" dataCellStyle="Comma"/>
    <tableColumn id="18" xr3:uid="{023FA5C7-FCC2-4102-982E-6C3523CADD7C}" name="2022 Claims: Hospital Inpatient" dataDxfId="222" dataCellStyle="Currency">
      <calculatedColumnFormula>IF(R92=0,"NA",(SUMPRODUCT(S106,R106)+SUMPRODUCT(S120,R120))/R92)</calculatedColumnFormula>
    </tableColumn>
    <tableColumn id="19" xr3:uid="{0C8C646E-ECDB-41E8-BF21-7AA51FB3DEF2}" name="2022 Claims: Hospital Outpatient" dataDxfId="221" dataCellStyle="Currency">
      <calculatedColumnFormula>IF(R92=0,"NA",(SUMPRODUCT(T106,R106)+SUMPRODUCT(T120,R120))/R92)</calculatedColumnFormula>
    </tableColumn>
    <tableColumn id="20" xr3:uid="{7814228B-AA1E-41BC-BFD6-8F9415CD9F9D}" name="2022 Claims: Professional, Primary Care" dataDxfId="220" dataCellStyle="Currency">
      <calculatedColumnFormula>IF(R92=0,"NA",(SUMPRODUCT(U106,R106)+SUMPRODUCT(U120,R120))/R92)</calculatedColumnFormula>
    </tableColumn>
    <tableColumn id="21" xr3:uid="{4493BE87-A960-49E6-8ABD-A411F26A3041}" name="2022 Claims: Professional, Specialty Care" dataDxfId="219" dataCellStyle="Currency">
      <calculatedColumnFormula>IF(R92=0,"NA",(SUMPRODUCT(V106,R106)+SUMPRODUCT(V120,R120))/R92)</calculatedColumnFormula>
    </tableColumn>
    <tableColumn id="22" xr3:uid="{E1520046-D1F1-4BEB-8E5D-A45A9D8782FA}" name="2022 Claims: Professional Other" dataDxfId="218" dataCellStyle="Currency">
      <calculatedColumnFormula>IF(R92=0,"NA",(SUMPRODUCT(W106,R106)+SUMPRODUCT(W120,R120))/R92)</calculatedColumnFormula>
    </tableColumn>
    <tableColumn id="23" xr3:uid="{6D3817E8-51AB-49AC-BD5E-14890671C749}" name="2022 Claims: Pharmacy (Gross of Retail Pharmacy Rebates)" dataDxfId="217" dataCellStyle="Currency">
      <calculatedColumnFormula>IF(R92=0,"NA",(SUMPRODUCT(X106,R106)+SUMPRODUCT(X120,R120))/R92)</calculatedColumnFormula>
    </tableColumn>
    <tableColumn id="24" xr3:uid="{8B2F31F5-261B-4117-80EA-A3984086578B}" name="2022 Claims: Long-term Care" dataDxfId="216" dataCellStyle="Currency">
      <calculatedColumnFormula>IF(R92=0,"NA",(SUMPRODUCT(Y106,R106)+SUMPRODUCT(Y120,R120))/R92)</calculatedColumnFormula>
    </tableColumn>
    <tableColumn id="25" xr3:uid="{18D16ABF-7014-43A0-9E86-0328898FC659}" name="2022 Claims: Other" dataDxfId="215" dataCellStyle="Currency">
      <calculatedColumnFormula>IF(R92=0,"NA",(SUMPRODUCT(Z106,R106)+SUMPRODUCT(Z120,R120))/R92)</calculatedColumnFormula>
    </tableColumn>
    <tableColumn id="26" xr3:uid="{20D59B81-05C8-4527-BD9A-C670B47C75C0}" name="2022 TOTAL Non-Truncated Claims Expenses" dataDxfId="214" dataCellStyle="Currency">
      <calculatedColumnFormula>IF(R92=0,"NA",(SUMPRODUCT(AA106,R106)+SUMPRODUCT(AA120,R120))/R92)</calculatedColumnFormula>
    </tableColumn>
    <tableColumn id="27" xr3:uid="{FF406094-0A25-459B-9D26-F3FAC5B9981D}" name="2022 TOTAL Truncated Claims Expenses" dataDxfId="213" dataCellStyle="Currency">
      <calculatedColumnFormula>IF(R92=0,"NA",(SUMPRODUCT(AB106,R106)+SUMPRODUCT(AB120,R120))/R92)</calculatedColumnFormula>
    </tableColumn>
    <tableColumn id="28" xr3:uid="{8F4F0547-7AD2-43D2-978C-FD83A08587CF}" name="2022 TOTAL Non-Claims Expenses" dataDxfId="212" dataCellStyle="Currency">
      <calculatedColumnFormula>IF(R92=0,"NA",(SUMPRODUCT(AC106,R106)+SUMPRODUCT(AC120,R120))/R92)</calculatedColumnFormula>
    </tableColumn>
    <tableColumn id="29" xr3:uid="{32F75214-9A8A-4AAB-AD60-A6E9F7E9B288}" name="2022 TOTAL Non-Truncated Total Expenses" dataDxfId="211" dataCellStyle="Currency">
      <calculatedColumnFormula>IF(R92=0,"NA",(SUMPRODUCT(AD106,R106)+SUMPRODUCT(AD120,R120))/R92)</calculatedColumnFormula>
    </tableColumn>
    <tableColumn id="30" xr3:uid="{DCBA8DEB-7BA3-4630-B053-7C770C0566BF}" name="2022 TOTAL Truncated Total Expenses" dataDxfId="210" dataCellStyle="Currency">
      <calculatedColumnFormula>IF(R92=0,"NA",(SUMPRODUCT(AE106,R106)+SUMPRODUCT(AE120,R120))/R92)</calculatedColumnFormula>
    </tableColumn>
    <tableColumn id="31" xr3:uid="{56112375-B0C4-4068-871E-D7034B88532D}" name="Member Months Trend" dataDxfId="209" dataCellStyle="Percent">
      <calculatedColumnFormula>IFERROR(IF($D92=0,"NA",R92/D92-1),"NA")</calculatedColumnFormula>
    </tableColumn>
    <tableColumn id="32" xr3:uid="{3F81FBD5-6E53-4867-8296-7CB200967053}" name="Claims: Hospital Inpatient Trend" dataDxfId="208" dataCellStyle="Percent">
      <calculatedColumnFormula>IFERROR(IF($D92=0,"NA",S92/E92-1),"NA")</calculatedColumnFormula>
    </tableColumn>
    <tableColumn id="33" xr3:uid="{AD48BFC3-40FC-44FD-9CD4-60C4DE8E1BBD}" name="Claims: Hospital Outpatient Trend" dataDxfId="207" dataCellStyle="Percent">
      <calculatedColumnFormula>IFERROR(IF($D92=0,"NA",T92/F92-1),"NA")</calculatedColumnFormula>
    </tableColumn>
    <tableColumn id="34" xr3:uid="{C46E9686-049A-4077-AD9D-69BD59784B01}" name="Claims: Professional, Primary Care Trend" dataDxfId="206" dataCellStyle="Percent">
      <calculatedColumnFormula>IFERROR(IF($D92=0,"NA",U92/G92-1),"NA")</calculatedColumnFormula>
    </tableColumn>
    <tableColumn id="35" xr3:uid="{881619F0-81B9-47E0-9663-B07E8DFE7474}" name="Claims: Professional, Specialty Care Trend" dataDxfId="205" dataCellStyle="Percent">
      <calculatedColumnFormula>IFERROR(IF($D92=0,"NA",V92/H92-1),"NA")</calculatedColumnFormula>
    </tableColumn>
    <tableColumn id="36" xr3:uid="{EA7C371E-2674-4A4D-B9C9-8BA1DD8DE685}" name="Claims: Professional Other Trend" dataDxfId="204" dataCellStyle="Percent">
      <calculatedColumnFormula>IFERROR(IF($D92=0,"NA",W92/I92-1),"NA")</calculatedColumnFormula>
    </tableColumn>
    <tableColumn id="37" xr3:uid="{C0136BEF-B4E9-4A9B-B1AF-DE2B6089DF62}" name="Claims: Pharmacy (Gross of Rebates) Trend" dataDxfId="203" dataCellStyle="Percent">
      <calculatedColumnFormula>IFERROR(IF($D92=0,"NA",X92/J92-1),"NA")</calculatedColumnFormula>
    </tableColumn>
    <tableColumn id="38" xr3:uid="{0D23C772-7FB9-4834-A9E3-4C19BF64C171}" name="Claims: Long-term Care  Trend" dataDxfId="202" dataCellStyle="Percent">
      <calculatedColumnFormula>IFERROR(IF($D92=0,"NA",Y92/K92-1),"NA")</calculatedColumnFormula>
    </tableColumn>
    <tableColumn id="39" xr3:uid="{0D4E398E-D45B-4616-9A97-C27085FF2CF9}" name="Claims: Other Trend" dataDxfId="201" dataCellStyle="Percent">
      <calculatedColumnFormula>IFERROR(IF($D92=0,"NA",Z92/L92-1),"NA")</calculatedColumnFormula>
    </tableColumn>
    <tableColumn id="40" xr3:uid="{9A0F922C-553F-436D-8DFE-1ADB283B7814}" name="TOTAL Non-Truncated Claims Expenses Trend" dataDxfId="200" dataCellStyle="Percent">
      <calculatedColumnFormula>IFERROR(IF($D92=0,"NA",AA92/M92-1),"NA")</calculatedColumnFormula>
    </tableColumn>
    <tableColumn id="41" xr3:uid="{44F48BAB-6296-47D6-B36B-640CB9CE8A9B}" name="TOTAL Truncated Claims Expenses  Trend" dataDxfId="199" dataCellStyle="Percent">
      <calculatedColumnFormula>IFERROR(IF($D92=0,"NA",AB92/N92-1),"NA")</calculatedColumnFormula>
    </tableColumn>
    <tableColumn id="42" xr3:uid="{0CDAB5D4-F4E2-449E-B77D-DF3CC33C95B6}" name="TOTAL Non-Claims Expenses Trend" dataDxfId="198" dataCellStyle="Percent">
      <calculatedColumnFormula>IFERROR(IF($D92=0,"NA",AC92/O92-1),"NA")</calculatedColumnFormula>
    </tableColumn>
    <tableColumn id="43" xr3:uid="{62460D19-A1A3-4195-979D-EC55F2549060}" name="TOTAL Non-Truncated Total Expenses Trend" dataDxfId="197" dataCellStyle="Percent">
      <calculatedColumnFormula>IFERROR(IF($D92=0,"NA",AD92/P92-1),"NA")</calculatedColumnFormula>
    </tableColumn>
    <tableColumn id="44" xr3:uid="{4AC2BF88-9A47-4CA3-890B-224114FF3F1D}" name="TOTAL Truncated Total Expenses Trend" dataDxfId="196" dataCellStyle="Percent">
      <calculatedColumnFormula>IFERROR(IF($D92=0,"NA",AE92/Q92-1),"NA")</calculatedColumnFormula>
    </tableColumn>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7E84299-F9EF-4868-9F09-A2C590F8840F}" name="InsurerFilingSchedule" displayName="InsurerFilingSchedule" ref="A4:B7" totalsRowShown="0" headerRowDxfId="1011" dataDxfId="1010">
  <tableColumns count="2">
    <tableColumn id="1" xr3:uid="{3370217B-A4B3-48B7-A19A-C883EC32629F}" name="Insurers' TME Filing Schedule Date" dataDxfId="1009"/>
    <tableColumn id="2" xr3:uid="{6F847357-AB38-462F-82E4-3701AF91DB40}" name="Files Due" dataDxfId="1008"/>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10AD14-5CAA-47E7-B5CA-A6381EC8AA07}" name="LgProvEntOrgID" displayName="LgProvEntOrgID" ref="A9:B19" totalsRowShown="0" headerRowDxfId="1007" dataDxfId="1006">
  <tableColumns count="2">
    <tableColumn id="1" xr3:uid="{0AE0FBE8-2C06-4459-90AE-6EDF809C8E46}" name="ACO/AE or Insurer Overall Organizational Identification Number for TME Reporting" dataDxfId="1005"/>
    <tableColumn id="2" xr3:uid="{06DA5646-4AAB-4AF2-ACBB-642B3DBF1D63}" name="ACO/AE Organization or Insurer" dataDxfId="1004"/>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A027678-7AF3-4DA1-AB01-26E3BB44502F}" name="InsOrgID" displayName="InsOrgID" ref="A26:B31" totalsRowShown="0" headerRowDxfId="1003" dataDxfId="1002">
  <tableColumns count="2">
    <tableColumn id="1" xr3:uid="{0DDDB29F-D2EC-4BEA-91CD-5D84C7371D33}" name="Insurer Organization ID" dataDxfId="1001"/>
    <tableColumn id="2" xr3:uid="{D955FA7D-DB4C-4921-B37D-497B9D2BC4CE}" name="Insurer" dataDxfId="1000"/>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3C10FD5-7887-4ADB-9632-00EA490730BF}" name="InsuranceCatCode" displayName="InsuranceCatCode" ref="A33:B41" totalsRowShown="0" headerRowDxfId="999" dataDxfId="998">
  <tableColumns count="2">
    <tableColumn id="1" xr3:uid="{C275CB2E-9EC4-478D-BC26-D0007BA014BC}" name="Insurance Category Code" dataDxfId="997"/>
    <tableColumn id="2" xr3:uid="{A60DAD8F-9F4C-43F0-8B55-8BB2646C3B68}" name="Definition" dataDxfId="996"/>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8" Type="http://schemas.openxmlformats.org/officeDocument/2006/relationships/table" Target="../tables/table35.xml"/><Relationship Id="rId13" Type="http://schemas.openxmlformats.org/officeDocument/2006/relationships/table" Target="../tables/table40.xml"/><Relationship Id="rId3" Type="http://schemas.openxmlformats.org/officeDocument/2006/relationships/table" Target="../tables/table30.xml"/><Relationship Id="rId7" Type="http://schemas.openxmlformats.org/officeDocument/2006/relationships/table" Target="../tables/table34.xml"/><Relationship Id="rId12" Type="http://schemas.openxmlformats.org/officeDocument/2006/relationships/table" Target="../tables/table39.xml"/><Relationship Id="rId2" Type="http://schemas.openxmlformats.org/officeDocument/2006/relationships/table" Target="../tables/table29.xml"/><Relationship Id="rId16" Type="http://schemas.openxmlformats.org/officeDocument/2006/relationships/table" Target="../tables/table43.xml"/><Relationship Id="rId1" Type="http://schemas.openxmlformats.org/officeDocument/2006/relationships/printerSettings" Target="../printerSettings/printerSettings14.bin"/><Relationship Id="rId6" Type="http://schemas.openxmlformats.org/officeDocument/2006/relationships/table" Target="../tables/table33.xml"/><Relationship Id="rId11" Type="http://schemas.openxmlformats.org/officeDocument/2006/relationships/table" Target="../tables/table38.xml"/><Relationship Id="rId5" Type="http://schemas.openxmlformats.org/officeDocument/2006/relationships/table" Target="../tables/table32.xml"/><Relationship Id="rId15" Type="http://schemas.openxmlformats.org/officeDocument/2006/relationships/table" Target="../tables/table42.xml"/><Relationship Id="rId10" Type="http://schemas.openxmlformats.org/officeDocument/2006/relationships/table" Target="../tables/table37.xml"/><Relationship Id="rId4" Type="http://schemas.openxmlformats.org/officeDocument/2006/relationships/table" Target="../tables/table31.xml"/><Relationship Id="rId9" Type="http://schemas.openxmlformats.org/officeDocument/2006/relationships/table" Target="../tables/table36.xml"/><Relationship Id="rId14" Type="http://schemas.openxmlformats.org/officeDocument/2006/relationships/table" Target="../tables/table41.xml"/></Relationships>
</file>

<file path=xl/worksheets/_rels/sheet18.xml.rels><?xml version="1.0" encoding="UTF-8" standalone="yes"?>
<Relationships xmlns="http://schemas.openxmlformats.org/package/2006/relationships"><Relationship Id="rId8" Type="http://schemas.openxmlformats.org/officeDocument/2006/relationships/table" Target="../tables/table50.xml"/><Relationship Id="rId3" Type="http://schemas.openxmlformats.org/officeDocument/2006/relationships/table" Target="../tables/table45.xml"/><Relationship Id="rId7" Type="http://schemas.openxmlformats.org/officeDocument/2006/relationships/table" Target="../tables/table49.xml"/><Relationship Id="rId2" Type="http://schemas.openxmlformats.org/officeDocument/2006/relationships/table" Target="../tables/table44.xml"/><Relationship Id="rId1" Type="http://schemas.openxmlformats.org/officeDocument/2006/relationships/printerSettings" Target="../printerSettings/printerSettings15.bin"/><Relationship Id="rId6" Type="http://schemas.openxmlformats.org/officeDocument/2006/relationships/table" Target="../tables/table48.xml"/><Relationship Id="rId11" Type="http://schemas.openxmlformats.org/officeDocument/2006/relationships/table" Target="../tables/table53.xml"/><Relationship Id="rId5" Type="http://schemas.openxmlformats.org/officeDocument/2006/relationships/table" Target="../tables/table47.xml"/><Relationship Id="rId10" Type="http://schemas.openxmlformats.org/officeDocument/2006/relationships/table" Target="../tables/table52.xml"/><Relationship Id="rId4" Type="http://schemas.openxmlformats.org/officeDocument/2006/relationships/table" Target="../tables/table46.xml"/><Relationship Id="rId9" Type="http://schemas.openxmlformats.org/officeDocument/2006/relationships/table" Target="../tables/table51.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12.xml"/><Relationship Id="rId3" Type="http://schemas.openxmlformats.org/officeDocument/2006/relationships/table" Target="../tables/table7.xml"/><Relationship Id="rId7" Type="http://schemas.openxmlformats.org/officeDocument/2006/relationships/table" Target="../tables/table11.xml"/><Relationship Id="rId12" Type="http://schemas.openxmlformats.org/officeDocument/2006/relationships/table" Target="../tables/table16.xml"/><Relationship Id="rId2" Type="http://schemas.openxmlformats.org/officeDocument/2006/relationships/table" Target="../tables/table6.xml"/><Relationship Id="rId1" Type="http://schemas.openxmlformats.org/officeDocument/2006/relationships/printerSettings" Target="../printerSettings/printerSettings3.bin"/><Relationship Id="rId6" Type="http://schemas.openxmlformats.org/officeDocument/2006/relationships/table" Target="../tables/table10.xml"/><Relationship Id="rId11" Type="http://schemas.openxmlformats.org/officeDocument/2006/relationships/table" Target="../tables/table15.xml"/><Relationship Id="rId5" Type="http://schemas.openxmlformats.org/officeDocument/2006/relationships/table" Target="../tables/table9.xml"/><Relationship Id="rId10" Type="http://schemas.openxmlformats.org/officeDocument/2006/relationships/table" Target="../tables/table14.xml"/><Relationship Id="rId4" Type="http://schemas.openxmlformats.org/officeDocument/2006/relationships/table" Target="../tables/table8.xml"/><Relationship Id="rId9" Type="http://schemas.openxmlformats.org/officeDocument/2006/relationships/table" Target="../tables/table1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3C2D9-82C0-4BEE-BDEE-8854974E3553}">
  <sheetPr codeName="Sheet7"/>
  <dimension ref="A1:M67"/>
  <sheetViews>
    <sheetView workbookViewId="0"/>
  </sheetViews>
  <sheetFormatPr defaultColWidth="22.7265625" defaultRowHeight="14.5" x14ac:dyDescent="0.35"/>
  <cols>
    <col min="1" max="1" width="30.81640625" customWidth="1"/>
    <col min="2" max="15" width="22.7265625" customWidth="1"/>
  </cols>
  <sheetData>
    <row r="1" spans="1:10" x14ac:dyDescent="0.35">
      <c r="A1" s="33"/>
      <c r="B1" s="33"/>
      <c r="C1" s="33"/>
      <c r="D1" s="33"/>
      <c r="E1" s="33"/>
      <c r="F1" s="33"/>
      <c r="G1" s="33"/>
      <c r="H1" s="33"/>
      <c r="I1" s="33"/>
      <c r="J1" s="33"/>
    </row>
    <row r="2" spans="1:10" x14ac:dyDescent="0.35">
      <c r="A2" s="34"/>
      <c r="B2" s="34"/>
      <c r="C2" s="33"/>
      <c r="D2" s="33"/>
      <c r="E2" s="33"/>
      <c r="F2" s="33"/>
      <c r="G2" s="33"/>
      <c r="H2" s="33"/>
      <c r="I2" s="33"/>
      <c r="J2" s="33"/>
    </row>
    <row r="3" spans="1:10" x14ac:dyDescent="0.35">
      <c r="A3" s="35" t="s">
        <v>23</v>
      </c>
      <c r="B3" s="35">
        <v>1</v>
      </c>
      <c r="C3" s="35">
        <v>2</v>
      </c>
      <c r="D3" s="35">
        <v>3</v>
      </c>
      <c r="E3" s="35">
        <v>4</v>
      </c>
      <c r="F3" s="35">
        <v>5</v>
      </c>
      <c r="G3" s="35">
        <v>6</v>
      </c>
      <c r="H3" s="35">
        <v>7</v>
      </c>
      <c r="I3" s="35">
        <v>8</v>
      </c>
      <c r="J3" s="33"/>
    </row>
    <row r="4" spans="1:10" ht="29" x14ac:dyDescent="0.35">
      <c r="A4" s="36" t="s">
        <v>0</v>
      </c>
      <c r="B4" s="37" t="s">
        <v>24</v>
      </c>
      <c r="C4" s="37" t="s">
        <v>25</v>
      </c>
      <c r="D4" s="37" t="s">
        <v>26</v>
      </c>
      <c r="E4" s="38" t="s">
        <v>27</v>
      </c>
      <c r="F4" s="39" t="s">
        <v>28</v>
      </c>
      <c r="G4" s="38" t="s">
        <v>29</v>
      </c>
      <c r="H4" s="38" t="s">
        <v>199</v>
      </c>
      <c r="I4" s="38" t="s">
        <v>30</v>
      </c>
      <c r="J4" s="33"/>
    </row>
    <row r="5" spans="1:10" x14ac:dyDescent="0.35">
      <c r="A5" s="480" t="s">
        <v>173</v>
      </c>
      <c r="B5" s="555" t="s">
        <v>31</v>
      </c>
      <c r="C5" s="555"/>
      <c r="D5" s="555" t="s">
        <v>31</v>
      </c>
      <c r="E5" s="555" t="s">
        <v>31</v>
      </c>
      <c r="F5" s="555" t="s">
        <v>31</v>
      </c>
      <c r="G5" s="555"/>
      <c r="H5" s="555"/>
      <c r="I5" s="555"/>
      <c r="J5" s="33"/>
    </row>
    <row r="6" spans="1:10" x14ac:dyDescent="0.35">
      <c r="A6" s="480" t="s">
        <v>174</v>
      </c>
      <c r="B6" s="555"/>
      <c r="C6" s="555" t="s">
        <v>31</v>
      </c>
      <c r="D6" s="555" t="s">
        <v>31</v>
      </c>
      <c r="E6" s="555"/>
      <c r="F6" s="555"/>
      <c r="G6" s="555"/>
      <c r="H6" s="555" t="s">
        <v>31</v>
      </c>
      <c r="I6" s="555"/>
      <c r="J6" s="33"/>
    </row>
    <row r="7" spans="1:10" x14ac:dyDescent="0.35">
      <c r="A7" s="480" t="s">
        <v>175</v>
      </c>
      <c r="B7" s="555"/>
      <c r="C7" s="555" t="s">
        <v>31</v>
      </c>
      <c r="D7" s="555" t="s">
        <v>31</v>
      </c>
      <c r="E7" s="555" t="s">
        <v>31</v>
      </c>
      <c r="F7" s="555"/>
      <c r="G7" s="555"/>
      <c r="H7" s="555"/>
      <c r="I7" s="555"/>
      <c r="J7" s="33"/>
    </row>
    <row r="8" spans="1:10" x14ac:dyDescent="0.35">
      <c r="A8" s="480" t="s">
        <v>176</v>
      </c>
      <c r="B8" s="555" t="s">
        <v>31</v>
      </c>
      <c r="C8" s="555" t="s">
        <v>31</v>
      </c>
      <c r="D8" s="555" t="s">
        <v>31</v>
      </c>
      <c r="E8" s="555" t="s">
        <v>31</v>
      </c>
      <c r="F8" s="555" t="s">
        <v>31</v>
      </c>
      <c r="G8" s="555"/>
      <c r="H8" s="555"/>
      <c r="I8" s="555"/>
      <c r="J8" s="33"/>
    </row>
    <row r="9" spans="1:10" x14ac:dyDescent="0.35">
      <c r="A9" s="480" t="s">
        <v>177</v>
      </c>
      <c r="B9" s="555"/>
      <c r="C9" s="555"/>
      <c r="D9" s="555" t="s">
        <v>31</v>
      </c>
      <c r="E9" s="555" t="s">
        <v>31</v>
      </c>
      <c r="F9" s="555"/>
      <c r="G9" s="555"/>
      <c r="H9" s="555"/>
      <c r="I9" s="555"/>
      <c r="J9" s="33"/>
    </row>
    <row r="10" spans="1:10" x14ac:dyDescent="0.35">
      <c r="A10" s="33"/>
      <c r="B10" s="33"/>
      <c r="C10" s="33"/>
      <c r="D10" s="33"/>
      <c r="E10" s="33"/>
      <c r="F10" s="33"/>
      <c r="G10" s="33"/>
      <c r="H10" s="33"/>
      <c r="I10" s="33"/>
      <c r="J10" s="33"/>
    </row>
    <row r="11" spans="1:10" x14ac:dyDescent="0.35">
      <c r="A11" s="33"/>
      <c r="B11" s="33"/>
      <c r="C11" s="33"/>
      <c r="D11" s="33"/>
      <c r="E11" s="33"/>
      <c r="G11" s="33"/>
      <c r="H11" s="33"/>
      <c r="I11" s="33"/>
      <c r="J11" s="33"/>
    </row>
    <row r="12" spans="1:10" ht="72.5" x14ac:dyDescent="0.35">
      <c r="A12" s="40" t="s">
        <v>595</v>
      </c>
      <c r="B12" s="37" t="s">
        <v>32</v>
      </c>
      <c r="C12" s="37" t="s">
        <v>242</v>
      </c>
      <c r="D12" s="37" t="s">
        <v>243</v>
      </c>
      <c r="E12" s="37" t="s">
        <v>245</v>
      </c>
      <c r="F12" s="37" t="s">
        <v>247</v>
      </c>
      <c r="G12" s="229" t="s">
        <v>246</v>
      </c>
      <c r="H12" s="37" t="s">
        <v>248</v>
      </c>
      <c r="I12" s="37" t="s">
        <v>249</v>
      </c>
      <c r="J12" s="37" t="s">
        <v>250</v>
      </c>
    </row>
    <row r="13" spans="1:10" x14ac:dyDescent="0.35">
      <c r="A13" s="480" t="s">
        <v>173</v>
      </c>
      <c r="B13" s="556">
        <v>743580</v>
      </c>
      <c r="C13" s="557"/>
      <c r="D13" s="558"/>
      <c r="E13" s="557">
        <v>205950</v>
      </c>
      <c r="F13" s="557">
        <v>487741</v>
      </c>
      <c r="G13" s="557">
        <v>1087508</v>
      </c>
      <c r="H13" s="557">
        <v>2343484</v>
      </c>
      <c r="I13" s="557">
        <v>864678</v>
      </c>
      <c r="J13" s="557"/>
    </row>
    <row r="14" spans="1:10" x14ac:dyDescent="0.35">
      <c r="A14" s="480" t="s">
        <v>174</v>
      </c>
      <c r="B14" s="556">
        <v>154212</v>
      </c>
      <c r="C14" s="559">
        <v>2064582.3999999997</v>
      </c>
      <c r="D14" s="560">
        <v>885248353.48999989</v>
      </c>
      <c r="E14" s="557">
        <v>302485</v>
      </c>
      <c r="F14" s="557">
        <v>21577</v>
      </c>
      <c r="G14" s="557">
        <v>0</v>
      </c>
      <c r="H14" s="557"/>
      <c r="I14" s="557">
        <v>0</v>
      </c>
      <c r="J14" s="557">
        <v>2230979</v>
      </c>
    </row>
    <row r="15" spans="1:10" x14ac:dyDescent="0.35">
      <c r="A15" s="480" t="s">
        <v>175</v>
      </c>
      <c r="B15" s="561"/>
      <c r="C15" s="559">
        <v>196208.30000000005</v>
      </c>
      <c r="D15" s="560">
        <v>72718924.209999979</v>
      </c>
      <c r="E15" s="557">
        <v>0</v>
      </c>
      <c r="F15" s="557">
        <v>30505</v>
      </c>
      <c r="G15" s="557">
        <v>78892</v>
      </c>
      <c r="H15" s="557"/>
      <c r="I15" s="557">
        <v>0</v>
      </c>
      <c r="J15" s="557">
        <v>0</v>
      </c>
    </row>
    <row r="16" spans="1:10" x14ac:dyDescent="0.35">
      <c r="A16" s="480" t="s">
        <v>176</v>
      </c>
      <c r="B16" s="556">
        <v>420252</v>
      </c>
      <c r="C16" s="559">
        <v>1153593.3999999999</v>
      </c>
      <c r="D16" s="560">
        <v>512642290.54000008</v>
      </c>
      <c r="E16" s="557">
        <v>276</v>
      </c>
      <c r="F16" s="557">
        <v>9603</v>
      </c>
      <c r="G16" s="557">
        <v>0</v>
      </c>
      <c r="H16" s="557"/>
      <c r="I16" s="557">
        <v>280382</v>
      </c>
      <c r="J16" s="557">
        <v>1157398</v>
      </c>
    </row>
    <row r="17" spans="1:13" x14ac:dyDescent="0.35">
      <c r="A17" s="480" t="s">
        <v>177</v>
      </c>
      <c r="B17" s="561"/>
      <c r="C17" s="557"/>
      <c r="D17" s="558"/>
      <c r="E17" s="557"/>
      <c r="F17" s="557"/>
      <c r="G17" s="557"/>
      <c r="H17" s="557"/>
      <c r="I17" s="557"/>
      <c r="J17" s="557"/>
    </row>
    <row r="18" spans="1:13" x14ac:dyDescent="0.35">
      <c r="A18" s="33"/>
      <c r="B18" s="33"/>
      <c r="E18" s="33"/>
    </row>
    <row r="19" spans="1:13" x14ac:dyDescent="0.35">
      <c r="A19" s="33"/>
      <c r="B19" s="33"/>
      <c r="D19" s="33"/>
      <c r="E19" s="33"/>
    </row>
    <row r="20" spans="1:13" ht="72.5" x14ac:dyDescent="0.35">
      <c r="A20" s="40" t="s">
        <v>748</v>
      </c>
      <c r="B20" s="37" t="s">
        <v>32</v>
      </c>
      <c r="C20" s="37" t="s">
        <v>242</v>
      </c>
      <c r="D20" s="37" t="s">
        <v>243</v>
      </c>
      <c r="E20" s="37" t="s">
        <v>245</v>
      </c>
      <c r="F20" s="37" t="s">
        <v>247</v>
      </c>
      <c r="G20" s="229" t="s">
        <v>246</v>
      </c>
      <c r="H20" s="37" t="s">
        <v>248</v>
      </c>
      <c r="I20" s="37" t="s">
        <v>249</v>
      </c>
      <c r="J20" s="37" t="s">
        <v>250</v>
      </c>
    </row>
    <row r="21" spans="1:13" x14ac:dyDescent="0.35">
      <c r="A21" s="480" t="s">
        <v>173</v>
      </c>
      <c r="B21" s="609">
        <v>801732</v>
      </c>
      <c r="C21" s="610"/>
      <c r="D21" s="611"/>
      <c r="E21" s="610"/>
      <c r="F21" s="610"/>
      <c r="G21" s="610"/>
      <c r="H21" s="610"/>
      <c r="I21" s="610"/>
      <c r="J21" s="610"/>
    </row>
    <row r="22" spans="1:13" x14ac:dyDescent="0.35">
      <c r="A22" s="480" t="s">
        <v>174</v>
      </c>
      <c r="B22" s="612">
        <v>159648</v>
      </c>
      <c r="C22" s="557"/>
      <c r="D22" s="558"/>
      <c r="E22" s="557"/>
      <c r="F22" s="557"/>
      <c r="G22" s="557"/>
      <c r="H22" s="557"/>
      <c r="I22" s="557"/>
      <c r="J22" s="557"/>
    </row>
    <row r="23" spans="1:13" x14ac:dyDescent="0.35">
      <c r="A23" s="480" t="s">
        <v>175</v>
      </c>
      <c r="B23" s="612"/>
      <c r="C23" s="557"/>
      <c r="D23" s="558"/>
      <c r="E23" s="557"/>
      <c r="F23" s="557"/>
      <c r="G23" s="557"/>
      <c r="H23" s="557"/>
      <c r="I23" s="557"/>
      <c r="J23" s="557"/>
    </row>
    <row r="24" spans="1:13" x14ac:dyDescent="0.35">
      <c r="A24" s="480" t="s">
        <v>176</v>
      </c>
      <c r="B24" s="612">
        <v>156624</v>
      </c>
      <c r="C24" s="557"/>
      <c r="D24" s="558"/>
      <c r="E24" s="557"/>
      <c r="F24" s="557"/>
      <c r="G24" s="557"/>
      <c r="H24" s="557"/>
      <c r="I24" s="557"/>
      <c r="J24" s="557"/>
    </row>
    <row r="25" spans="1:13" x14ac:dyDescent="0.35">
      <c r="A25" s="480" t="s">
        <v>177</v>
      </c>
      <c r="B25" s="613"/>
      <c r="C25" s="614"/>
      <c r="D25" s="615"/>
      <c r="E25" s="614"/>
      <c r="F25" s="614"/>
      <c r="G25" s="614"/>
      <c r="H25" s="614"/>
      <c r="I25" s="614"/>
      <c r="J25" s="614"/>
    </row>
    <row r="26" spans="1:13" x14ac:dyDescent="0.35">
      <c r="A26" s="412"/>
      <c r="B26" s="413"/>
      <c r="C26" s="411"/>
      <c r="E26" s="411"/>
      <c r="F26" s="411"/>
      <c r="G26" s="411"/>
      <c r="H26" s="411"/>
      <c r="I26" s="411"/>
      <c r="J26" s="411"/>
    </row>
    <row r="27" spans="1:13" x14ac:dyDescent="0.35">
      <c r="A27" s="33"/>
      <c r="B27" s="33"/>
      <c r="E27" s="33"/>
    </row>
    <row r="28" spans="1:13" ht="43.5" x14ac:dyDescent="0.35">
      <c r="A28" s="36" t="s">
        <v>596</v>
      </c>
      <c r="B28" s="416" t="s">
        <v>214</v>
      </c>
      <c r="C28" s="416" t="s">
        <v>215</v>
      </c>
      <c r="D28" s="416" t="s">
        <v>251</v>
      </c>
      <c r="E28" s="416" t="s">
        <v>216</v>
      </c>
      <c r="F28" s="416" t="s">
        <v>217</v>
      </c>
      <c r="G28" s="416" t="s">
        <v>218</v>
      </c>
      <c r="H28" s="416" t="s">
        <v>219</v>
      </c>
      <c r="I28" s="416" t="s">
        <v>220</v>
      </c>
      <c r="J28" s="417" t="s">
        <v>221</v>
      </c>
      <c r="K28" s="417" t="s">
        <v>222</v>
      </c>
      <c r="L28" s="417" t="s">
        <v>223</v>
      </c>
      <c r="M28" s="417" t="s">
        <v>224</v>
      </c>
    </row>
    <row r="29" spans="1:13" x14ac:dyDescent="0.35">
      <c r="A29" s="481" t="s">
        <v>173</v>
      </c>
      <c r="B29" s="562">
        <v>664748</v>
      </c>
      <c r="C29" s="563">
        <v>641660152.82073975</v>
      </c>
      <c r="D29" s="564">
        <v>0</v>
      </c>
      <c r="E29" s="565">
        <v>0</v>
      </c>
      <c r="F29" s="562">
        <v>1708501</v>
      </c>
      <c r="G29" s="566">
        <v>1002106898.1615088</v>
      </c>
      <c r="H29" s="562">
        <v>1276523</v>
      </c>
      <c r="I29" s="567">
        <v>728654042.24072695</v>
      </c>
      <c r="J29" s="562">
        <v>63964</v>
      </c>
      <c r="K29" s="567">
        <v>106870934.84943449</v>
      </c>
      <c r="L29" s="564">
        <v>0</v>
      </c>
      <c r="M29" s="565">
        <v>0</v>
      </c>
    </row>
    <row r="30" spans="1:13" x14ac:dyDescent="0.35">
      <c r="A30" s="481" t="s">
        <v>174</v>
      </c>
      <c r="B30" s="564">
        <v>0</v>
      </c>
      <c r="C30" s="568">
        <v>0</v>
      </c>
      <c r="D30" s="562">
        <v>2050226.6893</v>
      </c>
      <c r="E30" s="567">
        <v>951910423.45032001</v>
      </c>
      <c r="F30" s="569">
        <v>316863.92879999999</v>
      </c>
      <c r="G30" s="570">
        <v>116495765.45</v>
      </c>
      <c r="H30" s="564">
        <v>0</v>
      </c>
      <c r="I30" s="567">
        <v>0</v>
      </c>
      <c r="J30" s="564">
        <v>0</v>
      </c>
      <c r="K30" s="565">
        <v>0</v>
      </c>
      <c r="L30" s="571">
        <v>152824.99979999999</v>
      </c>
      <c r="M30" s="567">
        <v>368909066.68000001</v>
      </c>
    </row>
    <row r="31" spans="1:13" x14ac:dyDescent="0.35">
      <c r="A31" s="481" t="s">
        <v>175</v>
      </c>
      <c r="B31" s="564">
        <v>0</v>
      </c>
      <c r="C31" s="568">
        <v>0</v>
      </c>
      <c r="D31" s="572">
        <v>194806.30179</v>
      </c>
      <c r="E31" s="567">
        <v>75550831.670000017</v>
      </c>
      <c r="F31" s="562">
        <v>150185</v>
      </c>
      <c r="G31" s="566">
        <v>86148004.97921665</v>
      </c>
      <c r="H31" s="562">
        <v>43436</v>
      </c>
      <c r="I31" s="567">
        <v>28475133.700296991</v>
      </c>
      <c r="J31" s="564"/>
      <c r="K31" s="565"/>
      <c r="L31" s="564"/>
      <c r="M31" s="565"/>
    </row>
    <row r="32" spans="1:13" x14ac:dyDescent="0.35">
      <c r="A32" s="482" t="s">
        <v>176</v>
      </c>
      <c r="B32" s="562">
        <v>303003</v>
      </c>
      <c r="C32" s="567">
        <v>291641582.13999999</v>
      </c>
      <c r="D32" s="562">
        <v>1162599</v>
      </c>
      <c r="E32" s="567">
        <v>533796113.96000725</v>
      </c>
      <c r="F32" s="573">
        <v>564506</v>
      </c>
      <c r="G32" s="566">
        <v>273733103.56000251</v>
      </c>
      <c r="H32" s="573">
        <v>481587</v>
      </c>
      <c r="I32" s="567">
        <v>254885493.29189828</v>
      </c>
      <c r="J32" s="562">
        <v>135735</v>
      </c>
      <c r="K32" s="567">
        <v>208875583.34000003</v>
      </c>
      <c r="L32" s="564"/>
      <c r="M32" s="565"/>
    </row>
    <row r="33" spans="1:10" x14ac:dyDescent="0.35">
      <c r="A33" s="33"/>
      <c r="B33" s="33"/>
      <c r="C33" s="414" t="s">
        <v>800</v>
      </c>
      <c r="D33" s="415"/>
      <c r="E33" s="415"/>
      <c r="F33" s="414"/>
    </row>
    <row r="34" spans="1:10" x14ac:dyDescent="0.35">
      <c r="A34" s="33"/>
      <c r="B34" s="33"/>
      <c r="C34" s="33"/>
      <c r="D34" s="33"/>
      <c r="E34" s="41"/>
      <c r="F34" s="33"/>
      <c r="G34" s="33"/>
      <c r="H34" s="33"/>
      <c r="I34" s="33"/>
    </row>
    <row r="35" spans="1:10" x14ac:dyDescent="0.35">
      <c r="A35" s="98" t="s">
        <v>141</v>
      </c>
      <c r="B35" s="97" t="s">
        <v>143</v>
      </c>
      <c r="C35" s="33"/>
      <c r="F35" s="33"/>
      <c r="G35" s="33"/>
      <c r="H35" s="33"/>
      <c r="I35" s="33"/>
    </row>
    <row r="36" spans="1:10" ht="43.5" x14ac:dyDescent="0.35">
      <c r="A36" s="205" t="s">
        <v>45</v>
      </c>
      <c r="B36" s="551" t="s">
        <v>144</v>
      </c>
      <c r="J36" s="33"/>
    </row>
    <row r="37" spans="1:10" ht="43.5" x14ac:dyDescent="0.35">
      <c r="A37" s="205" t="s">
        <v>212</v>
      </c>
      <c r="B37" s="551" t="s">
        <v>144</v>
      </c>
      <c r="J37" s="33"/>
    </row>
    <row r="38" spans="1:10" ht="29" x14ac:dyDescent="0.35">
      <c r="A38" s="205" t="s">
        <v>46</v>
      </c>
      <c r="B38" s="551" t="s">
        <v>144</v>
      </c>
    </row>
    <row r="39" spans="1:10" ht="29" x14ac:dyDescent="0.35">
      <c r="A39" s="205" t="s">
        <v>47</v>
      </c>
      <c r="B39" s="551" t="s">
        <v>137</v>
      </c>
    </row>
    <row r="40" spans="1:10" ht="43.5" x14ac:dyDescent="0.35">
      <c r="A40" s="205" t="s">
        <v>48</v>
      </c>
      <c r="B40" s="551" t="s">
        <v>144</v>
      </c>
    </row>
    <row r="41" spans="1:10" ht="43.5" x14ac:dyDescent="0.35">
      <c r="A41" s="205" t="s">
        <v>768</v>
      </c>
      <c r="B41" s="551" t="s">
        <v>144</v>
      </c>
    </row>
    <row r="42" spans="1:10" ht="58" x14ac:dyDescent="0.35">
      <c r="A42" s="205" t="s">
        <v>598</v>
      </c>
      <c r="B42" s="552" t="s">
        <v>144</v>
      </c>
      <c r="D42" s="33"/>
      <c r="E42" s="33"/>
    </row>
    <row r="43" spans="1:10" ht="29" x14ac:dyDescent="0.35">
      <c r="A43" s="205" t="s">
        <v>642</v>
      </c>
      <c r="B43" s="552" t="s">
        <v>144</v>
      </c>
      <c r="C43" s="33"/>
      <c r="D43" s="33"/>
      <c r="E43" s="33"/>
      <c r="F43" s="33"/>
      <c r="G43" s="33"/>
      <c r="H43" s="33"/>
      <c r="I43" s="33"/>
    </row>
    <row r="44" spans="1:10" ht="72.5" x14ac:dyDescent="0.35">
      <c r="A44" s="205" t="s">
        <v>643</v>
      </c>
      <c r="B44" s="551" t="s">
        <v>144</v>
      </c>
      <c r="C44" s="33"/>
      <c r="D44" s="33"/>
      <c r="E44" s="33"/>
      <c r="F44" s="33"/>
      <c r="G44" s="33"/>
      <c r="H44" s="33"/>
      <c r="I44" s="33"/>
    </row>
    <row r="45" spans="1:10" ht="43.5" x14ac:dyDescent="0.35">
      <c r="A45" s="205" t="s">
        <v>49</v>
      </c>
      <c r="B45" s="552" t="s">
        <v>144</v>
      </c>
      <c r="C45" s="33"/>
      <c r="D45" s="33"/>
      <c r="E45" s="33"/>
      <c r="F45" s="33"/>
      <c r="G45" s="33"/>
      <c r="H45" s="33"/>
      <c r="I45" s="33"/>
    </row>
    <row r="46" spans="1:10" ht="43.5" x14ac:dyDescent="0.35">
      <c r="A46" s="205" t="s">
        <v>50</v>
      </c>
      <c r="B46" s="552" t="s">
        <v>144</v>
      </c>
      <c r="C46" s="33"/>
      <c r="E46" s="33"/>
      <c r="F46" s="33"/>
      <c r="G46" s="33"/>
      <c r="H46" s="33"/>
      <c r="I46" s="33"/>
      <c r="J46" s="33"/>
    </row>
    <row r="47" spans="1:10" ht="43.5" x14ac:dyDescent="0.35">
      <c r="A47" s="205" t="s">
        <v>213</v>
      </c>
      <c r="B47" s="551" t="s">
        <v>144</v>
      </c>
      <c r="C47" s="33"/>
      <c r="F47" s="33"/>
      <c r="G47" s="33"/>
      <c r="H47" s="33"/>
      <c r="I47" s="33"/>
      <c r="J47" s="33"/>
    </row>
    <row r="48" spans="1:10" ht="29" x14ac:dyDescent="0.35">
      <c r="A48" s="205" t="s">
        <v>51</v>
      </c>
      <c r="B48" s="551" t="s">
        <v>144</v>
      </c>
      <c r="J48" s="33"/>
    </row>
    <row r="49" spans="1:10" ht="43.5" x14ac:dyDescent="0.35">
      <c r="A49" s="205" t="s">
        <v>644</v>
      </c>
      <c r="B49" s="551" t="s">
        <v>144</v>
      </c>
      <c r="J49" s="33"/>
    </row>
    <row r="50" spans="1:10" ht="43.5" x14ac:dyDescent="0.35">
      <c r="A50" s="205" t="s">
        <v>645</v>
      </c>
      <c r="B50" s="551" t="s">
        <v>144</v>
      </c>
    </row>
    <row r="51" spans="1:10" ht="43.5" x14ac:dyDescent="0.35">
      <c r="A51" s="205" t="s">
        <v>52</v>
      </c>
      <c r="B51" s="551" t="s">
        <v>144</v>
      </c>
    </row>
    <row r="52" spans="1:10" ht="29" x14ac:dyDescent="0.35">
      <c r="A52" s="205" t="s">
        <v>155</v>
      </c>
      <c r="B52" s="551" t="s">
        <v>144</v>
      </c>
    </row>
    <row r="53" spans="1:10" ht="29" x14ac:dyDescent="0.35">
      <c r="A53" s="205" t="s">
        <v>53</v>
      </c>
      <c r="B53" s="551" t="s">
        <v>145</v>
      </c>
    </row>
    <row r="54" spans="1:10" ht="29" x14ac:dyDescent="0.35">
      <c r="A54" s="205" t="s">
        <v>54</v>
      </c>
      <c r="B54" s="551" t="s">
        <v>146</v>
      </c>
    </row>
    <row r="55" spans="1:10" ht="29" x14ac:dyDescent="0.35">
      <c r="A55" s="205" t="s">
        <v>55</v>
      </c>
      <c r="B55" s="551" t="s">
        <v>144</v>
      </c>
    </row>
    <row r="56" spans="1:10" ht="29" x14ac:dyDescent="0.35">
      <c r="A56" s="205" t="s">
        <v>637</v>
      </c>
      <c r="B56" s="551" t="s">
        <v>137</v>
      </c>
    </row>
    <row r="57" spans="1:10" ht="29" x14ac:dyDescent="0.35">
      <c r="A57" s="205" t="s">
        <v>239</v>
      </c>
      <c r="B57" s="551" t="s">
        <v>144</v>
      </c>
    </row>
    <row r="58" spans="1:10" ht="87" x14ac:dyDescent="0.35">
      <c r="A58" s="205" t="s">
        <v>590</v>
      </c>
      <c r="B58" s="553" t="s">
        <v>144</v>
      </c>
    </row>
    <row r="59" spans="1:10" ht="29" x14ac:dyDescent="0.35">
      <c r="A59" s="205" t="s">
        <v>240</v>
      </c>
      <c r="B59" s="553" t="s">
        <v>144</v>
      </c>
    </row>
    <row r="60" spans="1:10" ht="43.5" x14ac:dyDescent="0.35">
      <c r="A60" s="205" t="s">
        <v>589</v>
      </c>
      <c r="B60" s="553"/>
    </row>
    <row r="61" spans="1:10" ht="58" x14ac:dyDescent="0.35">
      <c r="A61" s="205" t="s">
        <v>636</v>
      </c>
      <c r="B61" s="553"/>
    </row>
    <row r="62" spans="1:10" ht="43.5" x14ac:dyDescent="0.35">
      <c r="A62" s="205" t="s">
        <v>638</v>
      </c>
      <c r="B62" s="553" t="s">
        <v>144</v>
      </c>
    </row>
    <row r="63" spans="1:10" ht="72.5" x14ac:dyDescent="0.35">
      <c r="A63" s="205" t="s">
        <v>786</v>
      </c>
      <c r="B63" s="553" t="s">
        <v>144</v>
      </c>
    </row>
    <row r="64" spans="1:10" ht="29" x14ac:dyDescent="0.35">
      <c r="A64" s="205" t="s">
        <v>640</v>
      </c>
      <c r="B64" s="553" t="s">
        <v>144</v>
      </c>
    </row>
    <row r="65" spans="1:2" ht="43.5" x14ac:dyDescent="0.35">
      <c r="A65" s="205" t="s">
        <v>641</v>
      </c>
      <c r="B65" s="553" t="s">
        <v>144</v>
      </c>
    </row>
    <row r="66" spans="1:2" ht="87" x14ac:dyDescent="0.35">
      <c r="A66" s="205" t="s">
        <v>729</v>
      </c>
      <c r="B66" s="554" t="s">
        <v>144</v>
      </c>
    </row>
    <row r="67" spans="1:2" ht="43.5" x14ac:dyDescent="0.35">
      <c r="A67" s="205" t="s">
        <v>56</v>
      </c>
      <c r="B67" s="554"/>
    </row>
  </sheetData>
  <sheetProtection algorithmName="SHA-512" hashValue="EB7X1MiZ0KMxmUuJ45RBmvcBl40kkjcFFMMnE98Xx1AlRo/LchhYzeDJ94vHijpU5I5LRwKTPB5O7RKvoP+QcA==" saltValue="TRPE2j8cpv+RysDgIecMNQ==" spinCount="100000" sheet="1" objects="1" scenarios="1" selectLockedCells="1" selectUnlockedCells="1"/>
  <phoneticPr fontId="21" type="noConversion"/>
  <dataValidations count="2">
    <dataValidation allowBlank="1" showInputMessage="1" showErrorMessage="1" error="The number of unique members participating in a plan each month with a medical benefit, regardless of whether the member has any paid claims." prompt="The number of unique members participating in a plan each month with a medical benefit, regardless of whether the member has any paid claims." sqref="L30" xr:uid="{0A2E81AA-107D-43AE-A509-200530834CB1}"/>
    <dataValidation allowBlank="1" showInputMessage="1" showErrorMessage="1" error="The number of unique members participating in a plan each month with a medical benefit, regardless of whether the member has any paid claims." promptTitle="Member Months" prompt="The number of unique members participating in a plan each month with a medical benefit, regardless of whether the member has any paid claims." sqref="B29 F29:F32 H29 J29 D30 H31:H32 B32 D32 J32" xr:uid="{55DDBA93-94BD-471E-AE0F-4BAF1C1D801A}"/>
  </dataValidations>
  <pageMargins left="0.7" right="0.7" top="0.75" bottom="0.75" header="0.3" footer="0.3"/>
  <pageSetup orientation="portrait" horizontalDpi="1200" verticalDpi="1200" r:id="rId1"/>
  <tableParts count="5">
    <tablePart r:id="rId2"/>
    <tablePart r:id="rId3"/>
    <tablePart r:id="rId4"/>
    <tablePart r:id="rId5"/>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6C223-68FB-48EB-B8FA-F14FEE91BC5D}">
  <sheetPr codeName="Sheet15">
    <tabColor theme="3"/>
  </sheetPr>
  <dimension ref="A1:D24"/>
  <sheetViews>
    <sheetView workbookViewId="0"/>
  </sheetViews>
  <sheetFormatPr defaultColWidth="9.1796875" defaultRowHeight="14.5" x14ac:dyDescent="0.35"/>
  <cols>
    <col min="1" max="4" width="29.7265625" customWidth="1"/>
  </cols>
  <sheetData>
    <row r="1" spans="1:4" x14ac:dyDescent="0.35">
      <c r="A1" s="1" t="s">
        <v>181</v>
      </c>
      <c r="B1" s="1"/>
    </row>
    <row r="2" spans="1:4" x14ac:dyDescent="0.35">
      <c r="A2" s="1" t="s">
        <v>670</v>
      </c>
      <c r="B2" s="1"/>
    </row>
    <row r="4" spans="1:4" x14ac:dyDescent="0.35">
      <c r="A4" t="s">
        <v>57</v>
      </c>
    </row>
    <row r="5" spans="1:4" x14ac:dyDescent="0.35">
      <c r="A5" s="139" t="s">
        <v>182</v>
      </c>
      <c r="B5" s="139"/>
    </row>
    <row r="6" spans="1:4" x14ac:dyDescent="0.35">
      <c r="A6" s="139"/>
      <c r="B6" s="139"/>
    </row>
    <row r="7" spans="1:4" x14ac:dyDescent="0.35">
      <c r="A7" s="139"/>
      <c r="B7" s="139"/>
    </row>
    <row r="8" spans="1:4" x14ac:dyDescent="0.35">
      <c r="A8" s="139"/>
      <c r="B8" s="139"/>
    </row>
    <row r="9" spans="1:4" x14ac:dyDescent="0.35">
      <c r="B9" s="3" t="s">
        <v>64</v>
      </c>
      <c r="C9" s="3" t="s">
        <v>65</v>
      </c>
      <c r="D9" s="3" t="s">
        <v>66</v>
      </c>
    </row>
    <row r="10" spans="1:4" s="146" customFormat="1" x14ac:dyDescent="0.35">
      <c r="A10" s="144" t="s">
        <v>3</v>
      </c>
      <c r="B10" s="191" t="s">
        <v>187</v>
      </c>
      <c r="C10" s="145" t="s">
        <v>188</v>
      </c>
      <c r="D10" s="206" t="s">
        <v>253</v>
      </c>
    </row>
    <row r="11" spans="1:4" x14ac:dyDescent="0.35">
      <c r="A11" s="175"/>
      <c r="B11" s="50"/>
      <c r="C11" s="50"/>
      <c r="D11" s="207">
        <f>RxRebates22[[#This Row],[Retail Pharmacy Rebates]]+RxRebates22[[#This Row],[Medical Pharmacy Rebates]]</f>
        <v>0</v>
      </c>
    </row>
    <row r="12" spans="1:4" x14ac:dyDescent="0.35">
      <c r="A12" s="175"/>
      <c r="B12" s="50"/>
      <c r="C12" s="50"/>
      <c r="D12" s="207">
        <f>RxRebates22[[#This Row],[Retail Pharmacy Rebates]]+RxRebates22[[#This Row],[Medical Pharmacy Rebates]]</f>
        <v>0</v>
      </c>
    </row>
    <row r="13" spans="1:4" x14ac:dyDescent="0.35">
      <c r="A13" s="175"/>
      <c r="B13" s="50"/>
      <c r="C13" s="50"/>
      <c r="D13" s="207">
        <f>RxRebates22[[#This Row],[Retail Pharmacy Rebates]]+RxRebates22[[#This Row],[Medical Pharmacy Rebates]]</f>
        <v>0</v>
      </c>
    </row>
    <row r="14" spans="1:4" x14ac:dyDescent="0.35">
      <c r="A14" s="175"/>
      <c r="B14" s="50"/>
      <c r="C14" s="50"/>
      <c r="D14" s="207">
        <f>RxRebates22[[#This Row],[Retail Pharmacy Rebates]]+RxRebates22[[#This Row],[Medical Pharmacy Rebates]]</f>
        <v>0</v>
      </c>
    </row>
    <row r="15" spans="1:4" x14ac:dyDescent="0.35">
      <c r="A15" s="175"/>
      <c r="B15" s="50"/>
      <c r="C15" s="50"/>
      <c r="D15" s="207">
        <f>RxRebates22[[#This Row],[Retail Pharmacy Rebates]]+RxRebates22[[#This Row],[Medical Pharmacy Rebates]]</f>
        <v>0</v>
      </c>
    </row>
    <row r="16" spans="1:4" x14ac:dyDescent="0.35">
      <c r="A16" s="175"/>
      <c r="B16" s="51"/>
      <c r="C16" s="51"/>
      <c r="D16" s="207">
        <f>RxRebates22[[#This Row],[Retail Pharmacy Rebates]]+RxRebates22[[#This Row],[Medical Pharmacy Rebates]]</f>
        <v>0</v>
      </c>
    </row>
    <row r="17" spans="1:4" x14ac:dyDescent="0.35">
      <c r="A17" s="175"/>
      <c r="B17" s="51"/>
      <c r="C17" s="51"/>
      <c r="D17" s="207">
        <f>RxRebates22[[#This Row],[Retail Pharmacy Rebates]]+RxRebates22[[#This Row],[Medical Pharmacy Rebates]]</f>
        <v>0</v>
      </c>
    </row>
    <row r="18" spans="1:4" x14ac:dyDescent="0.35">
      <c r="A18" s="175"/>
      <c r="B18" s="52"/>
      <c r="C18" s="52"/>
      <c r="D18" s="207">
        <f>RxRebates22[[#This Row],[Retail Pharmacy Rebates]]+RxRebates22[[#This Row],[Medical Pharmacy Rebates]]</f>
        <v>0</v>
      </c>
    </row>
    <row r="24" spans="1:4" ht="12.75" customHeight="1" x14ac:dyDescent="0.35"/>
  </sheetData>
  <sheetProtection algorithmName="SHA-512" hashValue="H4X0/KVseGjHBTB++iHMRBpsGnAJzm/Fl4mxbzEEgrxCzzxKNPlS7YNrFSoc8C1S1gmjQHu110h2rhIzbAS7dw==" saltValue="Ot9zYLENWY8jbJBdue7CsQ==" spinCount="100000" sheet="1" objects="1" scenarios="1"/>
  <dataValidations xWindow="96" yWindow="438" count="4">
    <dataValidation type="decimal" operator="lessThanOrEqual" allowBlank="1" showInputMessage="1" showErrorMessage="1" error="See &quot;Definitions&quot; tab._x000a_Report as a negative value." prompt="See &quot;Definitions&quot; tab._x000a_Report as a negative value." sqref="D11:D18" xr:uid="{A5CFC86D-5E73-4A1C-99C1-46B0334841FB}">
      <formula1>0</formula1>
    </dataValidation>
    <dataValidation type="whole" allowBlank="1" showInputMessage="1" showErrorMessage="1" errorTitle="Invalid ICC" error="The code you entered is invalid. Please refer to the &quot;Definitions&quot; tab for a list of valid codes." promptTitle="Insurance Category Code" prompt="1: Medicare &amp; Medicare Managed Care_x000a_2: Medicaid &amp; Medicaid Managed Care_x000a_3: Commerical: Full-Claims_x000a_4: Commercial: Partial-Adjusted_x000a_5: Medicare Exp. for Duals_x000a_6: Medicaid Exp. &amp; Medicaid Duals_x000a_7: Medicare/Medicaid Int. Duals_x000a_8: Other" sqref="A11:A18" xr:uid="{F6EF274B-C972-4CDA-A994-A967F9C62B38}">
      <formula1>1</formula1>
      <formula2>8</formula2>
    </dataValidation>
    <dataValidation type="decimal" operator="lessThanOrEqual" allowBlank="1" showInputMessage="1" showErrorMessage="1" error="See &quot;Definitions&quot; tab._x000a_Report as a negative value." promptTitle="Medical Pharmacy Rebates" prompt="See &quot;Definitions&quot; tab._x000a_Report as a negative value." sqref="C11:C18" xr:uid="{340FE147-B38D-4EE5-84CB-D911CE8C6E52}">
      <formula1>0</formula1>
    </dataValidation>
    <dataValidation type="decimal" operator="lessThanOrEqual" allowBlank="1" showInputMessage="1" showErrorMessage="1" error="See &quot;Definitions&quot; tab._x000a_Report as a negative value." promptTitle="Retail Pharmacy Rebates" prompt="See &quot;Definitions&quot; tab._x000a_Report as a negative value." sqref="B11:B18" xr:uid="{B663D6BB-84A8-4D4F-BD84-EACA92A384BC}">
      <formula1>0</formula1>
    </dataValidation>
  </dataValidations>
  <pageMargins left="0.7" right="0.7" top="0.75" bottom="0.75" header="0.3" footer="0.3"/>
  <drawing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7F955-CA2A-4794-B4D9-6F63F496C241}">
  <sheetPr codeName="Sheet18">
    <tabColor theme="3"/>
  </sheetPr>
  <dimension ref="A1:I18"/>
  <sheetViews>
    <sheetView workbookViewId="0"/>
  </sheetViews>
  <sheetFormatPr defaultColWidth="9.1796875" defaultRowHeight="14.5" x14ac:dyDescent="0.35"/>
  <cols>
    <col min="1" max="1" width="35.7265625" customWidth="1"/>
    <col min="2" max="2" width="20.7265625" customWidth="1"/>
    <col min="3" max="3" width="25" customWidth="1"/>
    <col min="4" max="4" width="37.453125" customWidth="1"/>
    <col min="5" max="5" width="39.1796875" customWidth="1"/>
    <col min="6" max="6" width="30.54296875" customWidth="1"/>
    <col min="7" max="7" width="37.26953125" customWidth="1"/>
    <col min="8" max="8" width="32.81640625" customWidth="1"/>
  </cols>
  <sheetData>
    <row r="1" spans="1:9" x14ac:dyDescent="0.35">
      <c r="A1" s="1" t="s">
        <v>181</v>
      </c>
    </row>
    <row r="2" spans="1:9" x14ac:dyDescent="0.35">
      <c r="A2" s="1" t="s">
        <v>717</v>
      </c>
    </row>
    <row r="3" spans="1:9" ht="14.5" customHeight="1" x14ac:dyDescent="0.35">
      <c r="G3" s="233"/>
      <c r="H3" s="233"/>
    </row>
    <row r="4" spans="1:9" x14ac:dyDescent="0.35">
      <c r="A4" t="s">
        <v>57</v>
      </c>
      <c r="F4" s="579" t="s">
        <v>189</v>
      </c>
      <c r="G4" s="579"/>
      <c r="H4" s="579"/>
      <c r="I4" s="147"/>
    </row>
    <row r="5" spans="1:9" ht="14.5" customHeight="1" x14ac:dyDescent="0.35">
      <c r="F5" s="579"/>
      <c r="G5" s="579"/>
      <c r="H5" s="579"/>
      <c r="I5" s="147"/>
    </row>
    <row r="6" spans="1:9" ht="14.5" customHeight="1" x14ac:dyDescent="0.35">
      <c r="F6" s="579"/>
      <c r="G6" s="579"/>
      <c r="H6" s="579"/>
      <c r="I6" s="147"/>
    </row>
    <row r="7" spans="1:9" x14ac:dyDescent="0.35">
      <c r="F7" s="579"/>
      <c r="G7" s="579"/>
      <c r="H7" s="579"/>
      <c r="I7" s="147"/>
    </row>
    <row r="8" spans="1:9" x14ac:dyDescent="0.35">
      <c r="F8" s="580"/>
      <c r="G8" s="580"/>
      <c r="H8" s="580"/>
      <c r="I8" s="147"/>
    </row>
    <row r="9" spans="1:9" x14ac:dyDescent="0.35">
      <c r="A9" s="3" t="s">
        <v>64</v>
      </c>
      <c r="B9" s="3" t="s">
        <v>65</v>
      </c>
      <c r="C9" s="3" t="s">
        <v>66</v>
      </c>
      <c r="F9" s="3" t="s">
        <v>157</v>
      </c>
      <c r="G9" s="3" t="s">
        <v>158</v>
      </c>
      <c r="H9" s="3" t="s">
        <v>520</v>
      </c>
    </row>
    <row r="10" spans="1:9" s="146" customFormat="1" ht="29" x14ac:dyDescent="0.35">
      <c r="A10" s="144" t="s">
        <v>518</v>
      </c>
      <c r="B10" s="148" t="s">
        <v>544</v>
      </c>
      <c r="C10" s="234" t="s">
        <v>662</v>
      </c>
      <c r="F10" s="137" t="s">
        <v>518</v>
      </c>
      <c r="G10" s="137" t="s">
        <v>519</v>
      </c>
      <c r="H10" s="137" t="s">
        <v>718</v>
      </c>
    </row>
    <row r="11" spans="1:9" x14ac:dyDescent="0.35">
      <c r="A11" s="171"/>
      <c r="B11" s="174"/>
      <c r="C11" s="174"/>
      <c r="F11" s="175"/>
      <c r="G11" s="187"/>
      <c r="H11" s="187"/>
    </row>
    <row r="12" spans="1:9" x14ac:dyDescent="0.35">
      <c r="A12" s="171"/>
      <c r="B12" s="174"/>
      <c r="C12" s="174"/>
    </row>
    <row r="13" spans="1:9" x14ac:dyDescent="0.35">
      <c r="A13" s="171"/>
      <c r="B13" s="174"/>
      <c r="C13" s="174"/>
    </row>
    <row r="14" spans="1:9" x14ac:dyDescent="0.35">
      <c r="A14" s="171"/>
      <c r="B14" s="174"/>
      <c r="C14" s="174"/>
    </row>
    <row r="15" spans="1:9" x14ac:dyDescent="0.35">
      <c r="A15" s="171"/>
      <c r="B15" s="174"/>
      <c r="C15" s="174"/>
    </row>
    <row r="16" spans="1:9" x14ac:dyDescent="0.35">
      <c r="A16" s="171"/>
      <c r="B16" s="174"/>
      <c r="C16" s="174"/>
    </row>
    <row r="17" spans="1:3" x14ac:dyDescent="0.35">
      <c r="A17" s="171"/>
      <c r="B17" s="174"/>
      <c r="C17" s="174"/>
    </row>
    <row r="18" spans="1:3" x14ac:dyDescent="0.35">
      <c r="A18" s="172"/>
      <c r="B18" s="174"/>
      <c r="C18" s="174"/>
    </row>
  </sheetData>
  <sheetProtection algorithmName="SHA-512" hashValue="hHTlpi1ULvw6ApUbGhm3iYlgIkEryKiBQ5Y5QS6dGMGUD8E2AWi8wzrwPadwIN+hoYJQCP6zJ1AYH7L9t0MI5w==" saltValue="OkrdPw3Jyv8IUDGOohOWKg==" spinCount="100000" sheet="1" objects="1" scenarios="1"/>
  <mergeCells count="1">
    <mergeCell ref="F4:H8"/>
  </mergeCells>
  <dataValidations count="5">
    <dataValidation type="whole" operator="greaterThanOrEqual" allowBlank="1" showInputMessage="1" showErrorMessage="1" error="See &quot;Definitions&quot; tab._x000a_No negative values." promptTitle="2021 Member Months" prompt="See &quot;Definitions&quot; tab._x000a_No negative values." sqref="C11:C18" xr:uid="{D598CDC3-4B84-4F29-A48A-D33301715075}">
      <formula1>0</formula1>
    </dataValidation>
    <dataValidation type="whole" operator="equal" allowBlank="1" showInputMessage="1" showErrorMessage="1" error="904 = Self-insured" promptTitle="Self-Insured LOB" prompt="904 = Self-insured" sqref="F11" xr:uid="{500B03B3-1C2A-4EBA-9086-696F21DE414F}">
      <formula1>904</formula1>
    </dataValidation>
    <dataValidation allowBlank="1" showInputMessage="1" showErrorMessage="1" error="See &quot;Definitions&quot; tab." prompt="See &quot;Definitions&quot; tab." sqref="G11:H11" xr:uid="{7B5D6730-99D3-495E-9667-E1AF011E938F}"/>
    <dataValidation type="whole" allowBlank="1" showInputMessage="1" showErrorMessage="1" errorTitle="LOB Enrollment Code" error="The LOB code you entered is invalid. Please see the &quot;Definitions&quot; tab for a list of valid codes._x000a_" promptTitle="LOB Enrollment Category Code" prompt="901: Individual_x000a_902: Large group, fully insured_x000a_903: Small group, full insured_x000a_904: Self-insured_x000a_905: Student market_x000a_906: Medicare managed care_x000a_907: Medicaid/CHIP managed care_x000a_908: Medicare/Medicaid duals" sqref="A11:A18" xr:uid="{CBAD33D2-69C6-4D99-AF81-3F08D4010537}">
      <formula1>901</formula1>
      <formula2>908</formula2>
    </dataValidation>
    <dataValidation type="whole" operator="greaterThanOrEqual" allowBlank="1" showInputMessage="1" showErrorMessage="1" error="See &quot;Definitions&quot; tab._x000a_No negative values." promptTitle="2020 Member Months" prompt="See &quot;Definitions&quot; tab._x000a_No negative values." sqref="B11:B18" xr:uid="{E0B4599E-F024-42BD-AAA9-A02B5A8C5CB5}">
      <formula1>0</formula1>
    </dataValidation>
  </dataValidations>
  <pageMargins left="0.7" right="0.7" top="0.75" bottom="0.75" header="0.3" footer="0.3"/>
  <drawing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AFD39-AC36-4637-A391-4F1CC2A7E8C8}">
  <sheetPr codeName="Sheet19">
    <tabColor theme="8"/>
  </sheetPr>
  <dimension ref="A1:F60"/>
  <sheetViews>
    <sheetView workbookViewId="0"/>
  </sheetViews>
  <sheetFormatPr defaultColWidth="9.1796875" defaultRowHeight="14.5" x14ac:dyDescent="0.35"/>
  <cols>
    <col min="1" max="1" width="43.54296875" customWidth="1"/>
    <col min="2" max="2" width="25" customWidth="1"/>
    <col min="3" max="3" width="31.54296875" customWidth="1"/>
    <col min="4" max="5" width="20.1796875" customWidth="1"/>
  </cols>
  <sheetData>
    <row r="1" spans="1:6" x14ac:dyDescent="0.35">
      <c r="A1" s="1" t="s">
        <v>181</v>
      </c>
      <c r="B1" s="1"/>
    </row>
    <row r="2" spans="1:6" x14ac:dyDescent="0.35">
      <c r="A2" s="1" t="s">
        <v>587</v>
      </c>
      <c r="B2" s="1"/>
      <c r="D2" s="581" t="s">
        <v>762</v>
      </c>
      <c r="E2" s="581"/>
    </row>
    <row r="3" spans="1:6" x14ac:dyDescent="0.35">
      <c r="D3" s="581"/>
      <c r="E3" s="581"/>
    </row>
    <row r="4" spans="1:6" x14ac:dyDescent="0.35">
      <c r="A4" t="s">
        <v>57</v>
      </c>
      <c r="D4" s="578" t="str">
        <f>IF(AND(A11&lt;&gt;"", OR('Data Validation'!C19&gt;0,'Data Validation'!D19&gt;0,'Data Validation'!E19&gt;0)), "STOP - Misalignment of truncated spending for 2021. Check Data Validation tab.", "Good")</f>
        <v>Good</v>
      </c>
      <c r="E4" s="578"/>
    </row>
    <row r="5" spans="1:6" x14ac:dyDescent="0.35">
      <c r="D5" s="578"/>
      <c r="E5" s="578"/>
    </row>
    <row r="6" spans="1:6" x14ac:dyDescent="0.35">
      <c r="D6" s="578"/>
      <c r="E6" s="578"/>
    </row>
    <row r="7" spans="1:6" x14ac:dyDescent="0.35">
      <c r="B7" s="129" t="s">
        <v>8</v>
      </c>
    </row>
    <row r="8" spans="1:6" x14ac:dyDescent="0.35">
      <c r="B8" s="129" t="s">
        <v>163</v>
      </c>
    </row>
    <row r="9" spans="1:6" x14ac:dyDescent="0.35">
      <c r="B9" s="129" t="s">
        <v>30</v>
      </c>
      <c r="C9" s="3" t="s">
        <v>64</v>
      </c>
      <c r="D9" s="3" t="s">
        <v>65</v>
      </c>
      <c r="E9" s="3" t="s">
        <v>66</v>
      </c>
      <c r="F9" s="26"/>
    </row>
    <row r="10" spans="1:6" s="146" customFormat="1" ht="29" x14ac:dyDescent="0.35">
      <c r="A10" s="144" t="s">
        <v>254</v>
      </c>
      <c r="B10" s="149" t="s">
        <v>121</v>
      </c>
      <c r="C10" s="145" t="s">
        <v>87</v>
      </c>
      <c r="D10" s="149" t="s">
        <v>539</v>
      </c>
      <c r="E10" s="149" t="s">
        <v>523</v>
      </c>
    </row>
    <row r="11" spans="1:6" x14ac:dyDescent="0.35">
      <c r="A11" s="176"/>
      <c r="B11" s="175"/>
      <c r="C11" s="51"/>
      <c r="D11" s="451"/>
      <c r="E11" s="8"/>
    </row>
    <row r="12" spans="1:6" x14ac:dyDescent="0.35">
      <c r="A12" s="176"/>
      <c r="B12" s="175"/>
      <c r="C12" s="51"/>
      <c r="D12" s="451"/>
      <c r="E12" s="8"/>
    </row>
    <row r="13" spans="1:6" x14ac:dyDescent="0.35">
      <c r="A13" s="176"/>
      <c r="B13" s="175"/>
      <c r="C13" s="51"/>
      <c r="D13" s="451"/>
      <c r="E13" s="8"/>
    </row>
    <row r="14" spans="1:6" x14ac:dyDescent="0.35">
      <c r="A14" s="176"/>
      <c r="B14" s="175"/>
      <c r="C14" s="51"/>
      <c r="D14" s="451"/>
      <c r="E14" s="8"/>
    </row>
    <row r="15" spans="1:6" x14ac:dyDescent="0.35">
      <c r="A15" s="176"/>
      <c r="B15" s="175"/>
      <c r="C15" s="51"/>
      <c r="D15" s="451"/>
      <c r="E15" s="8"/>
    </row>
    <row r="16" spans="1:6" x14ac:dyDescent="0.35">
      <c r="A16" s="176"/>
      <c r="B16" s="175"/>
      <c r="C16" s="51"/>
      <c r="D16" s="536"/>
      <c r="E16" s="536"/>
    </row>
    <row r="17" spans="1:5" x14ac:dyDescent="0.35">
      <c r="A17" s="176"/>
      <c r="B17" s="175"/>
      <c r="C17" s="51"/>
      <c r="D17" s="536"/>
      <c r="E17" s="536"/>
    </row>
    <row r="18" spans="1:5" x14ac:dyDescent="0.35">
      <c r="A18" s="176"/>
      <c r="B18" s="175"/>
      <c r="C18" s="51"/>
      <c r="D18" s="536"/>
      <c r="E18" s="536"/>
    </row>
    <row r="19" spans="1:5" x14ac:dyDescent="0.35">
      <c r="A19" s="176"/>
      <c r="B19" s="175"/>
      <c r="C19" s="51"/>
      <c r="D19" s="536"/>
      <c r="E19" s="536"/>
    </row>
    <row r="20" spans="1:5" x14ac:dyDescent="0.35">
      <c r="A20" s="176"/>
      <c r="B20" s="175"/>
      <c r="C20" s="51"/>
      <c r="D20" s="536"/>
      <c r="E20" s="536"/>
    </row>
    <row r="21" spans="1:5" x14ac:dyDescent="0.35">
      <c r="A21" s="176"/>
      <c r="B21" s="175"/>
      <c r="C21" s="51"/>
      <c r="D21" s="451"/>
      <c r="E21" s="451"/>
    </row>
    <row r="22" spans="1:5" x14ac:dyDescent="0.35">
      <c r="A22" s="176"/>
      <c r="B22" s="175"/>
      <c r="C22" s="51"/>
      <c r="D22" s="451"/>
      <c r="E22" s="451"/>
    </row>
    <row r="23" spans="1:5" x14ac:dyDescent="0.35">
      <c r="A23" s="176"/>
      <c r="B23" s="175"/>
      <c r="C23" s="51"/>
      <c r="D23" s="451"/>
      <c r="E23" s="451"/>
    </row>
    <row r="24" spans="1:5" x14ac:dyDescent="0.35">
      <c r="A24" s="176"/>
      <c r="B24" s="175"/>
      <c r="C24" s="51"/>
      <c r="D24" s="451"/>
      <c r="E24" s="451"/>
    </row>
    <row r="25" spans="1:5" x14ac:dyDescent="0.35">
      <c r="A25" s="176"/>
      <c r="B25" s="175"/>
      <c r="C25" s="51"/>
      <c r="D25" s="451"/>
      <c r="E25" s="451"/>
    </row>
    <row r="26" spans="1:5" x14ac:dyDescent="0.35">
      <c r="A26" s="176"/>
      <c r="B26" s="175"/>
      <c r="C26" s="51"/>
      <c r="D26" s="451"/>
      <c r="E26" s="451"/>
    </row>
    <row r="27" spans="1:5" x14ac:dyDescent="0.35">
      <c r="A27" s="176"/>
      <c r="B27" s="175"/>
      <c r="C27" s="51"/>
      <c r="D27" s="451"/>
      <c r="E27" s="8"/>
    </row>
    <row r="28" spans="1:5" x14ac:dyDescent="0.35">
      <c r="A28" s="176"/>
      <c r="B28" s="175"/>
      <c r="C28" s="51"/>
      <c r="D28" s="451"/>
      <c r="E28" s="8"/>
    </row>
    <row r="29" spans="1:5" x14ac:dyDescent="0.35">
      <c r="A29" s="176"/>
      <c r="B29" s="175"/>
      <c r="C29" s="51"/>
      <c r="D29" s="451"/>
      <c r="E29" s="8"/>
    </row>
    <row r="30" spans="1:5" x14ac:dyDescent="0.35">
      <c r="A30" s="176"/>
      <c r="B30" s="175"/>
      <c r="C30" s="51"/>
      <c r="D30" s="451"/>
      <c r="E30" s="8"/>
    </row>
    <row r="31" spans="1:5" x14ac:dyDescent="0.35">
      <c r="A31" s="176"/>
      <c r="B31" s="175"/>
      <c r="C31" s="51"/>
      <c r="D31" s="451"/>
      <c r="E31" s="8"/>
    </row>
    <row r="32" spans="1:5" x14ac:dyDescent="0.35">
      <c r="A32" s="176"/>
      <c r="B32" s="175"/>
      <c r="C32" s="51"/>
      <c r="D32" s="8"/>
      <c r="E32" s="8"/>
    </row>
    <row r="33" spans="1:5" x14ac:dyDescent="0.35">
      <c r="A33" s="176"/>
      <c r="B33" s="175"/>
      <c r="C33" s="51"/>
      <c r="D33" s="8"/>
      <c r="E33" s="8"/>
    </row>
    <row r="34" spans="1:5" x14ac:dyDescent="0.35">
      <c r="A34" s="176"/>
      <c r="B34" s="175"/>
      <c r="C34" s="51"/>
      <c r="D34" s="8"/>
      <c r="E34" s="8"/>
    </row>
    <row r="35" spans="1:5" x14ac:dyDescent="0.35">
      <c r="A35" s="176"/>
      <c r="B35" s="175"/>
      <c r="C35" s="51"/>
      <c r="D35" s="8"/>
      <c r="E35" s="8"/>
    </row>
    <row r="36" spans="1:5" x14ac:dyDescent="0.35">
      <c r="A36" s="176"/>
      <c r="B36" s="175"/>
      <c r="C36" s="51"/>
      <c r="D36" s="8"/>
      <c r="E36" s="8"/>
    </row>
    <row r="37" spans="1:5" x14ac:dyDescent="0.35">
      <c r="A37" s="176"/>
      <c r="B37" s="175"/>
      <c r="C37" s="51"/>
      <c r="D37" s="8"/>
      <c r="E37" s="8"/>
    </row>
    <row r="38" spans="1:5" x14ac:dyDescent="0.35">
      <c r="A38" s="176"/>
      <c r="B38" s="175"/>
      <c r="C38" s="51"/>
      <c r="D38" s="8"/>
      <c r="E38" s="8"/>
    </row>
    <row r="39" spans="1:5" x14ac:dyDescent="0.35">
      <c r="A39" s="176"/>
      <c r="B39" s="175"/>
      <c r="C39" s="51"/>
      <c r="D39" s="8"/>
      <c r="E39" s="8"/>
    </row>
    <row r="40" spans="1:5" x14ac:dyDescent="0.35">
      <c r="A40" s="176"/>
      <c r="B40" s="175"/>
      <c r="C40" s="51"/>
      <c r="D40" s="8"/>
      <c r="E40" s="8"/>
    </row>
    <row r="41" spans="1:5" x14ac:dyDescent="0.35">
      <c r="A41" s="176"/>
      <c r="B41" s="175"/>
      <c r="C41" s="51"/>
      <c r="D41" s="8"/>
      <c r="E41" s="8"/>
    </row>
    <row r="42" spans="1:5" x14ac:dyDescent="0.35">
      <c r="A42" s="176"/>
      <c r="B42" s="175"/>
      <c r="C42" s="51"/>
      <c r="D42" s="8"/>
      <c r="E42" s="8"/>
    </row>
    <row r="43" spans="1:5" x14ac:dyDescent="0.35">
      <c r="A43" s="176"/>
      <c r="B43" s="175"/>
      <c r="C43" s="51"/>
      <c r="D43" s="8"/>
      <c r="E43" s="8"/>
    </row>
    <row r="44" spans="1:5" x14ac:dyDescent="0.35">
      <c r="A44" s="176"/>
      <c r="B44" s="175"/>
      <c r="C44" s="51"/>
      <c r="D44" s="8"/>
      <c r="E44" s="8"/>
    </row>
    <row r="45" spans="1:5" x14ac:dyDescent="0.35">
      <c r="A45" s="176"/>
      <c r="B45" s="175"/>
      <c r="C45" s="51"/>
      <c r="D45" s="8"/>
      <c r="E45" s="8"/>
    </row>
    <row r="46" spans="1:5" x14ac:dyDescent="0.35">
      <c r="A46" s="176"/>
      <c r="B46" s="175"/>
      <c r="C46" s="51"/>
      <c r="D46" s="8"/>
      <c r="E46" s="8"/>
    </row>
    <row r="47" spans="1:5" x14ac:dyDescent="0.35">
      <c r="A47" s="176"/>
      <c r="B47" s="175"/>
      <c r="C47" s="51"/>
      <c r="D47" s="8"/>
      <c r="E47" s="8"/>
    </row>
    <row r="48" spans="1:5" x14ac:dyDescent="0.35">
      <c r="A48" s="176"/>
      <c r="B48" s="175"/>
      <c r="C48" s="51"/>
      <c r="D48" s="8"/>
      <c r="E48" s="8"/>
    </row>
    <row r="49" spans="1:5" x14ac:dyDescent="0.35">
      <c r="A49" s="176"/>
      <c r="B49" s="175"/>
      <c r="C49" s="51"/>
      <c r="D49" s="8"/>
      <c r="E49" s="8"/>
    </row>
    <row r="50" spans="1:5" x14ac:dyDescent="0.35">
      <c r="A50" s="176"/>
      <c r="B50" s="175"/>
      <c r="C50" s="51"/>
      <c r="D50" s="8"/>
      <c r="E50" s="8"/>
    </row>
    <row r="51" spans="1:5" x14ac:dyDescent="0.35">
      <c r="A51" s="176"/>
      <c r="B51" s="175"/>
      <c r="C51" s="51"/>
      <c r="D51" s="8"/>
      <c r="E51" s="8"/>
    </row>
    <row r="52" spans="1:5" x14ac:dyDescent="0.35">
      <c r="A52" s="176"/>
      <c r="B52" s="175"/>
      <c r="C52" s="51"/>
      <c r="D52" s="8"/>
      <c r="E52" s="8"/>
    </row>
    <row r="53" spans="1:5" x14ac:dyDescent="0.35">
      <c r="A53" s="176"/>
      <c r="B53" s="175"/>
      <c r="C53" s="51"/>
      <c r="D53" s="8"/>
      <c r="E53" s="8"/>
    </row>
    <row r="54" spans="1:5" x14ac:dyDescent="0.35">
      <c r="A54" s="176"/>
      <c r="B54" s="175"/>
      <c r="C54" s="51"/>
      <c r="D54" s="8"/>
      <c r="E54" s="8"/>
    </row>
    <row r="55" spans="1:5" x14ac:dyDescent="0.35">
      <c r="A55" s="176"/>
      <c r="B55" s="175"/>
      <c r="C55" s="51"/>
      <c r="D55" s="8"/>
      <c r="E55" s="8"/>
    </row>
    <row r="56" spans="1:5" x14ac:dyDescent="0.35">
      <c r="A56" s="176"/>
      <c r="B56" s="175"/>
      <c r="C56" s="51"/>
      <c r="D56" s="8"/>
      <c r="E56" s="8"/>
    </row>
    <row r="57" spans="1:5" x14ac:dyDescent="0.35">
      <c r="A57" s="176"/>
      <c r="B57" s="175"/>
      <c r="C57" s="51"/>
      <c r="D57" s="8"/>
      <c r="E57" s="8"/>
    </row>
    <row r="58" spans="1:5" x14ac:dyDescent="0.35">
      <c r="A58" s="176"/>
      <c r="B58" s="175"/>
      <c r="C58" s="51"/>
      <c r="D58" s="8"/>
      <c r="E58" s="8"/>
    </row>
    <row r="59" spans="1:5" x14ac:dyDescent="0.35">
      <c r="A59" s="176"/>
      <c r="B59" s="175"/>
      <c r="C59" s="51"/>
      <c r="D59" s="8"/>
      <c r="E59" s="8"/>
    </row>
    <row r="60" spans="1:5" x14ac:dyDescent="0.35">
      <c r="A60" s="177"/>
      <c r="B60" s="178"/>
      <c r="C60" s="173"/>
      <c r="D60" s="8"/>
      <c r="E60" s="8"/>
    </row>
  </sheetData>
  <sheetProtection algorithmName="SHA-512" hashValue="zbHsFjH6oCY3K4epcE2ozuo2gH+N9Gnox8Ii5vzB1f2w4HLcGbSKQbjSvXei/O/DvZgQ8ODcCQbGA6jHN8XUoQ==" saltValue="4acZNkyxLyqBvjudTnQgNg==" spinCount="100000" sheet="1" objects="1" scenarios="1"/>
  <mergeCells count="2">
    <mergeCell ref="D2:E3"/>
    <mergeCell ref="D4:E6"/>
  </mergeCells>
  <conditionalFormatting sqref="D4:E6">
    <cfRule type="notContainsText" dxfId="179" priority="1" operator="notContains" text="Good">
      <formula>ISERROR(SEARCH("Good",D4))</formula>
    </cfRule>
    <cfRule type="containsText" dxfId="178" priority="2" operator="containsText" text="Good">
      <formula>NOT(ISERROR(SEARCH("Good",D4)))</formula>
    </cfRule>
  </conditionalFormatting>
  <dataValidations count="4">
    <dataValidation allowBlank="1" showInputMessage="1" showErrorMessage="1" error="See &quot;Definitions&quot; tab." promptTitle="Member Months" prompt="See &quot;Definitions&quot; tab." sqref="C11:C60" xr:uid="{DFBF33AA-C842-4A4F-819D-6A1FA03014C5}"/>
    <dataValidation type="textLength" operator="equal" allowBlank="1" showInputMessage="1" showErrorMessage="1" error="Please input the OHIC-assigned ACO/AE organization ID (to report variance by provider) OR insurer organization ID (for variance by overall line of business)._x000a_See &quot;Definitions&quot; tab." promptTitle="ACO/AE or Insurer Org ID" prompt="Please input the OHIC-assigned ACO/AE organization ID (to report standard deviation by provider) OR insurer organization ID (for standard deviation by overall market)._x000a_See &quot;Definitions&quot; tab." sqref="A32:A60 A16:A26" xr:uid="{C2FEA768-00CD-4B18-97D8-963E2FAEC2FF}">
      <formula1>3</formula1>
    </dataValidation>
    <dataValidation type="decimal" allowBlank="1" showInputMessage="1" showErrorMessage="1" promptTitle="Total Truncated Spending" prompt="See &quot;Definitions&quot; Tab. No negative values." sqref="D11:D60" xr:uid="{831FBFA0-6209-4AED-9175-5AEF70E4DE0B}">
      <formula1>0</formula1>
      <formula2>100000000000000</formula2>
    </dataValidation>
    <dataValidation type="decimal" allowBlank="1" showInputMessage="1" showErrorMessage="1" promptTitle="Standard Deviation PMPM" prompt="See &quot;Definitions&quot; tab. No negative values." sqref="E11:E60" xr:uid="{2F626673-6DD6-44E2-BFDE-224D161B39D4}">
      <formula1>0</formula1>
      <formula2>10000000000000</formula2>
    </dataValidation>
  </dataValidations>
  <hyperlinks>
    <hyperlink ref="D2:E3" location="TruncSpendSDbyMkt" display="Check for alignment of truncated spending by market" xr:uid="{1DD3C271-D0F2-4635-9CCC-CFB1A9D40316}"/>
  </hyperlinks>
  <pageMargins left="0.7" right="0.7" top="0.75" bottom="0.75" header="0.3" footer="0.3"/>
  <pageSetup orientation="portrait" horizontalDpi="1200" verticalDpi="1200"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operator="equal" allowBlank="1" showDropDown="1" showInputMessage="1" showErrorMessage="1" error="Please input the valid Market name (Medicare, Medicaid, or commercial). " promptTitle="Market" prompt="Each market combines ICCs (see Definitions tab):_x000a_-Medicare: ICC 1 and ICC 5_x000a_-Medicaid: ICC 2 and ICC 6_x000a_-Commercial: ICC 3 and ICC 4_x000a_-Other (please explain in the &quot;Insurer Comments&quot; column in the &quot;HD-TME&quot; tab)" xr:uid="{D6AF14F0-F11D-4B00-84C8-D24B820C37A1}">
          <x14:formula1>
            <xm:f>'Reference Tables'!$A$22:$A$24</xm:f>
          </x14:formula1>
          <xm:sqref>B32:B60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5C987-767B-4A8C-8344-F7F0038ED247}">
  <sheetPr codeName="Sheet20">
    <tabColor theme="3"/>
  </sheetPr>
  <dimension ref="A1:F60"/>
  <sheetViews>
    <sheetView workbookViewId="0"/>
  </sheetViews>
  <sheetFormatPr defaultColWidth="9.1796875" defaultRowHeight="14.5" x14ac:dyDescent="0.35"/>
  <cols>
    <col min="1" max="1" width="43.54296875" customWidth="1"/>
    <col min="2" max="2" width="25" customWidth="1"/>
    <col min="3" max="3" width="31.54296875" customWidth="1"/>
    <col min="4" max="5" width="20.1796875" customWidth="1"/>
  </cols>
  <sheetData>
    <row r="1" spans="1:6" x14ac:dyDescent="0.35">
      <c r="A1" s="1" t="s">
        <v>181</v>
      </c>
      <c r="B1" s="1"/>
    </row>
    <row r="2" spans="1:6" x14ac:dyDescent="0.35">
      <c r="A2" s="1" t="s">
        <v>667</v>
      </c>
      <c r="B2" s="1"/>
    </row>
    <row r="3" spans="1:6" ht="29.15" customHeight="1" x14ac:dyDescent="0.35">
      <c r="D3" s="582" t="s">
        <v>762</v>
      </c>
      <c r="E3" s="582"/>
    </row>
    <row r="4" spans="1:6" ht="14.5" customHeight="1" x14ac:dyDescent="0.35">
      <c r="A4" t="s">
        <v>57</v>
      </c>
      <c r="D4" s="578" t="str">
        <f>IF(AND(A11&lt;&gt;"", OR('Data Validation'!F19&gt;0,'Data Validation'!G19&gt;0,'Data Validation'!H19&gt;0)), "STOP - Misalignment of truncated spending for 2022. Check Data Validation tab.", "Good")</f>
        <v>Good</v>
      </c>
      <c r="E4" s="578"/>
    </row>
    <row r="5" spans="1:6" x14ac:dyDescent="0.35">
      <c r="D5" s="578"/>
      <c r="E5" s="578"/>
    </row>
    <row r="6" spans="1:6" x14ac:dyDescent="0.35">
      <c r="D6" s="578"/>
      <c r="E6" s="578"/>
    </row>
    <row r="7" spans="1:6" x14ac:dyDescent="0.35">
      <c r="B7" s="129" t="s">
        <v>8</v>
      </c>
    </row>
    <row r="8" spans="1:6" x14ac:dyDescent="0.35">
      <c r="B8" s="129" t="s">
        <v>163</v>
      </c>
    </row>
    <row r="9" spans="1:6" x14ac:dyDescent="0.35">
      <c r="B9" s="129" t="s">
        <v>30</v>
      </c>
      <c r="C9" s="3" t="s">
        <v>64</v>
      </c>
      <c r="D9" s="3" t="s">
        <v>65</v>
      </c>
      <c r="E9" s="3" t="s">
        <v>66</v>
      </c>
    </row>
    <row r="10" spans="1:6" s="146" customFormat="1" ht="29" x14ac:dyDescent="0.35">
      <c r="A10" s="144" t="s">
        <v>254</v>
      </c>
      <c r="B10" s="149" t="s">
        <v>121</v>
      </c>
      <c r="C10" s="145" t="s">
        <v>87</v>
      </c>
      <c r="D10" s="149" t="s">
        <v>539</v>
      </c>
      <c r="E10" s="149" t="s">
        <v>523</v>
      </c>
      <c r="F10"/>
    </row>
    <row r="11" spans="1:6" x14ac:dyDescent="0.35">
      <c r="A11" s="176"/>
      <c r="B11" s="548"/>
      <c r="C11" s="549"/>
      <c r="D11" s="550"/>
      <c r="E11" s="550"/>
    </row>
    <row r="12" spans="1:6" x14ac:dyDescent="0.35">
      <c r="A12" s="176"/>
      <c r="B12" s="175"/>
      <c r="C12" s="51"/>
      <c r="D12" s="8"/>
      <c r="E12" s="8"/>
    </row>
    <row r="13" spans="1:6" x14ac:dyDescent="0.35">
      <c r="A13" s="176"/>
      <c r="B13" s="175"/>
      <c r="C13" s="51"/>
      <c r="D13" s="8"/>
      <c r="E13" s="8"/>
    </row>
    <row r="14" spans="1:6" x14ac:dyDescent="0.35">
      <c r="A14" s="176"/>
      <c r="B14" s="175"/>
      <c r="C14" s="51"/>
      <c r="D14" s="8"/>
      <c r="E14" s="8"/>
    </row>
    <row r="15" spans="1:6" x14ac:dyDescent="0.35">
      <c r="A15" s="176"/>
      <c r="B15" s="175"/>
      <c r="C15" s="51"/>
      <c r="D15" s="8"/>
      <c r="E15" s="8"/>
    </row>
    <row r="16" spans="1:6" x14ac:dyDescent="0.35">
      <c r="A16" s="176"/>
      <c r="B16" s="175"/>
      <c r="C16" s="51"/>
      <c r="D16" s="8"/>
      <c r="E16" s="8"/>
    </row>
    <row r="17" spans="1:5" x14ac:dyDescent="0.35">
      <c r="A17" s="176"/>
      <c r="B17" s="175"/>
      <c r="C17" s="51"/>
      <c r="D17" s="8"/>
      <c r="E17" s="8"/>
    </row>
    <row r="18" spans="1:5" x14ac:dyDescent="0.35">
      <c r="A18" s="176"/>
      <c r="B18" s="175"/>
      <c r="C18" s="51"/>
      <c r="D18" s="8"/>
      <c r="E18" s="8"/>
    </row>
    <row r="19" spans="1:5" x14ac:dyDescent="0.35">
      <c r="A19" s="176"/>
      <c r="B19" s="175"/>
      <c r="C19" s="51"/>
      <c r="D19" s="8"/>
      <c r="E19" s="8"/>
    </row>
    <row r="20" spans="1:5" x14ac:dyDescent="0.35">
      <c r="A20" s="176"/>
      <c r="B20" s="175"/>
      <c r="C20" s="51"/>
      <c r="D20" s="8"/>
      <c r="E20" s="8"/>
    </row>
    <row r="21" spans="1:5" x14ac:dyDescent="0.35">
      <c r="A21" s="176"/>
      <c r="B21" s="175"/>
      <c r="C21" s="51"/>
      <c r="D21" s="8"/>
      <c r="E21" s="8"/>
    </row>
    <row r="22" spans="1:5" x14ac:dyDescent="0.35">
      <c r="A22" s="176"/>
      <c r="B22" s="175"/>
      <c r="C22" s="51"/>
      <c r="D22" s="451"/>
      <c r="E22" s="451"/>
    </row>
    <row r="23" spans="1:5" x14ac:dyDescent="0.35">
      <c r="A23" s="176"/>
      <c r="B23" s="175"/>
      <c r="C23" s="51"/>
      <c r="D23" s="451"/>
      <c r="E23" s="451"/>
    </row>
    <row r="24" spans="1:5" x14ac:dyDescent="0.35">
      <c r="A24" s="176"/>
      <c r="B24" s="175"/>
      <c r="C24" s="51"/>
      <c r="D24" s="451"/>
      <c r="E24" s="451"/>
    </row>
    <row r="25" spans="1:5" x14ac:dyDescent="0.35">
      <c r="A25" s="176"/>
      <c r="B25" s="175"/>
      <c r="C25" s="51"/>
      <c r="D25" s="451"/>
      <c r="E25" s="451"/>
    </row>
    <row r="26" spans="1:5" x14ac:dyDescent="0.35">
      <c r="A26" s="176"/>
      <c r="B26" s="175"/>
      <c r="C26" s="51"/>
      <c r="D26" s="451"/>
      <c r="E26" s="451"/>
    </row>
    <row r="27" spans="1:5" x14ac:dyDescent="0.35">
      <c r="A27" s="176"/>
      <c r="B27" s="175"/>
      <c r="C27" s="51"/>
      <c r="D27" s="8"/>
      <c r="E27" s="8"/>
    </row>
    <row r="28" spans="1:5" x14ac:dyDescent="0.35">
      <c r="A28" s="176"/>
      <c r="B28" s="175"/>
      <c r="C28" s="51"/>
      <c r="D28" s="8"/>
      <c r="E28" s="8"/>
    </row>
    <row r="29" spans="1:5" x14ac:dyDescent="0.35">
      <c r="A29" s="176"/>
      <c r="B29" s="175"/>
      <c r="C29" s="51"/>
      <c r="D29" s="8"/>
      <c r="E29" s="8"/>
    </row>
    <row r="30" spans="1:5" x14ac:dyDescent="0.35">
      <c r="A30" s="176"/>
      <c r="B30" s="175"/>
      <c r="C30" s="51"/>
      <c r="D30" s="8"/>
      <c r="E30" s="8"/>
    </row>
    <row r="31" spans="1:5" x14ac:dyDescent="0.35">
      <c r="A31" s="176"/>
      <c r="B31" s="175"/>
      <c r="C31" s="51"/>
      <c r="D31" s="8"/>
      <c r="E31" s="8"/>
    </row>
    <row r="32" spans="1:5" x14ac:dyDescent="0.35">
      <c r="A32" s="176"/>
      <c r="B32" s="175"/>
      <c r="C32" s="51"/>
      <c r="D32" s="8"/>
      <c r="E32" s="8"/>
    </row>
    <row r="33" spans="1:5" x14ac:dyDescent="0.35">
      <c r="A33" s="176"/>
      <c r="B33" s="175"/>
      <c r="C33" s="51"/>
      <c r="D33" s="8"/>
      <c r="E33" s="8"/>
    </row>
    <row r="34" spans="1:5" x14ac:dyDescent="0.35">
      <c r="A34" s="176"/>
      <c r="B34" s="175"/>
      <c r="C34" s="51"/>
      <c r="D34" s="8"/>
      <c r="E34" s="8"/>
    </row>
    <row r="35" spans="1:5" x14ac:dyDescent="0.35">
      <c r="A35" s="176"/>
      <c r="B35" s="175"/>
      <c r="C35" s="51"/>
      <c r="D35" s="8"/>
      <c r="E35" s="8"/>
    </row>
    <row r="36" spans="1:5" x14ac:dyDescent="0.35">
      <c r="A36" s="176"/>
      <c r="B36" s="175"/>
      <c r="C36" s="51"/>
      <c r="D36" s="8"/>
      <c r="E36" s="8"/>
    </row>
    <row r="37" spans="1:5" x14ac:dyDescent="0.35">
      <c r="A37" s="176"/>
      <c r="B37" s="175"/>
      <c r="C37" s="51"/>
      <c r="D37" s="8"/>
      <c r="E37" s="8"/>
    </row>
    <row r="38" spans="1:5" x14ac:dyDescent="0.35">
      <c r="A38" s="176"/>
      <c r="B38" s="175"/>
      <c r="C38" s="51"/>
      <c r="D38" s="8"/>
      <c r="E38" s="8"/>
    </row>
    <row r="39" spans="1:5" x14ac:dyDescent="0.35">
      <c r="A39" s="176"/>
      <c r="B39" s="175"/>
      <c r="C39" s="51"/>
      <c r="D39" s="8"/>
      <c r="E39" s="8"/>
    </row>
    <row r="40" spans="1:5" x14ac:dyDescent="0.35">
      <c r="A40" s="176"/>
      <c r="B40" s="175"/>
      <c r="C40" s="51"/>
      <c r="D40" s="8"/>
      <c r="E40" s="8"/>
    </row>
    <row r="41" spans="1:5" x14ac:dyDescent="0.35">
      <c r="A41" s="176"/>
      <c r="B41" s="175"/>
      <c r="C41" s="51"/>
      <c r="D41" s="8"/>
      <c r="E41" s="8"/>
    </row>
    <row r="42" spans="1:5" x14ac:dyDescent="0.35">
      <c r="A42" s="176"/>
      <c r="B42" s="175"/>
      <c r="C42" s="51"/>
      <c r="D42" s="8"/>
      <c r="E42" s="8"/>
    </row>
    <row r="43" spans="1:5" x14ac:dyDescent="0.35">
      <c r="A43" s="176"/>
      <c r="B43" s="175"/>
      <c r="C43" s="51"/>
      <c r="D43" s="8"/>
      <c r="E43" s="8"/>
    </row>
    <row r="44" spans="1:5" x14ac:dyDescent="0.35">
      <c r="A44" s="176"/>
      <c r="B44" s="175"/>
      <c r="C44" s="51"/>
      <c r="D44" s="8"/>
      <c r="E44" s="8"/>
    </row>
    <row r="45" spans="1:5" x14ac:dyDescent="0.35">
      <c r="A45" s="176"/>
      <c r="B45" s="175"/>
      <c r="C45" s="51"/>
      <c r="D45" s="8"/>
      <c r="E45" s="8"/>
    </row>
    <row r="46" spans="1:5" x14ac:dyDescent="0.35">
      <c r="A46" s="176"/>
      <c r="B46" s="175"/>
      <c r="C46" s="51"/>
      <c r="D46" s="8"/>
      <c r="E46" s="8"/>
    </row>
    <row r="47" spans="1:5" x14ac:dyDescent="0.35">
      <c r="A47" s="176"/>
      <c r="B47" s="175"/>
      <c r="C47" s="51"/>
      <c r="D47" s="8"/>
      <c r="E47" s="8"/>
    </row>
    <row r="48" spans="1:5" x14ac:dyDescent="0.35">
      <c r="A48" s="176"/>
      <c r="B48" s="175"/>
      <c r="C48" s="51"/>
      <c r="D48" s="8"/>
      <c r="E48" s="8"/>
    </row>
    <row r="49" spans="1:5" x14ac:dyDescent="0.35">
      <c r="A49" s="176"/>
      <c r="B49" s="175"/>
      <c r="C49" s="51"/>
      <c r="D49" s="8"/>
      <c r="E49" s="8"/>
    </row>
    <row r="50" spans="1:5" x14ac:dyDescent="0.35">
      <c r="A50" s="176"/>
      <c r="B50" s="175"/>
      <c r="C50" s="51"/>
      <c r="D50" s="8"/>
      <c r="E50" s="8"/>
    </row>
    <row r="51" spans="1:5" x14ac:dyDescent="0.35">
      <c r="A51" s="176"/>
      <c r="B51" s="175"/>
      <c r="C51" s="51"/>
      <c r="D51" s="8"/>
      <c r="E51" s="8"/>
    </row>
    <row r="52" spans="1:5" x14ac:dyDescent="0.35">
      <c r="A52" s="176"/>
      <c r="B52" s="175"/>
      <c r="C52" s="51"/>
      <c r="D52" s="8"/>
      <c r="E52" s="8"/>
    </row>
    <row r="53" spans="1:5" x14ac:dyDescent="0.35">
      <c r="A53" s="176"/>
      <c r="B53" s="175"/>
      <c r="C53" s="51"/>
      <c r="D53" s="8"/>
      <c r="E53" s="8"/>
    </row>
    <row r="54" spans="1:5" x14ac:dyDescent="0.35">
      <c r="A54" s="176"/>
      <c r="B54" s="175"/>
      <c r="C54" s="51"/>
      <c r="D54" s="8"/>
      <c r="E54" s="8"/>
    </row>
    <row r="55" spans="1:5" x14ac:dyDescent="0.35">
      <c r="A55" s="176"/>
      <c r="B55" s="175"/>
      <c r="C55" s="51"/>
      <c r="D55" s="8"/>
      <c r="E55" s="8"/>
    </row>
    <row r="56" spans="1:5" x14ac:dyDescent="0.35">
      <c r="A56" s="176"/>
      <c r="B56" s="175"/>
      <c r="C56" s="51"/>
      <c r="D56" s="8"/>
      <c r="E56" s="8"/>
    </row>
    <row r="57" spans="1:5" x14ac:dyDescent="0.35">
      <c r="A57" s="176"/>
      <c r="B57" s="175"/>
      <c r="C57" s="51"/>
      <c r="D57" s="8"/>
      <c r="E57" s="8"/>
    </row>
    <row r="58" spans="1:5" x14ac:dyDescent="0.35">
      <c r="A58" s="176"/>
      <c r="B58" s="175"/>
      <c r="C58" s="51"/>
      <c r="D58" s="8"/>
      <c r="E58" s="8"/>
    </row>
    <row r="59" spans="1:5" x14ac:dyDescent="0.35">
      <c r="A59" s="176"/>
      <c r="B59" s="175"/>
      <c r="C59" s="51"/>
      <c r="D59" s="8"/>
      <c r="E59" s="8"/>
    </row>
    <row r="60" spans="1:5" x14ac:dyDescent="0.35">
      <c r="A60" s="177"/>
      <c r="B60" s="178"/>
      <c r="C60" s="173"/>
      <c r="D60" s="8"/>
      <c r="E60" s="8"/>
    </row>
  </sheetData>
  <sheetProtection algorithmName="SHA-512" hashValue="5Oiwz1jxn0ZDDrZZR+Q64MKi5my3+gRAhZFlOBiCiTHxRPmPevMXqLJ5VfpeEyuHe4jMYepeqcY1Pzr+EkwbgA==" saltValue="gYZK2MRqn5GIzffiZCcrpQ==" spinCount="100000" sheet="1" objects="1" scenarios="1"/>
  <mergeCells count="2">
    <mergeCell ref="D3:E3"/>
    <mergeCell ref="D4:E6"/>
  </mergeCells>
  <conditionalFormatting sqref="D4:E6">
    <cfRule type="notContainsText" dxfId="177" priority="1" operator="notContains" text="Good">
      <formula>ISERROR(SEARCH("Good",D4))</formula>
    </cfRule>
    <cfRule type="containsText" dxfId="176" priority="2" operator="containsText" text="Good">
      <formula>NOT(ISERROR(SEARCH("Good",D4)))</formula>
    </cfRule>
  </conditionalFormatting>
  <dataValidations count="4">
    <dataValidation type="textLength" operator="equal" allowBlank="1" showInputMessage="1" showErrorMessage="1" error="Please input the OHIC-assigned ACO/AE organization ID (to report variance by provider) OR insurer organization ID (for variance by overall line of business)._x000a_See &quot;Definitions&quot; tab." promptTitle="ACO/AE or Insurer Org ID" prompt="Please input the OHIC-assigned ACO/AE organization ID (to report standard deviation by provider) OR insurer organization ID (for standard deviation by overall market)._x000a_See &quot;Definitions&quot; tab." sqref="A11:A60 A11:A15" xr:uid="{EA29CED2-4E8F-482F-9826-25F6F98FA9EC}">
      <formula1>3</formula1>
    </dataValidation>
    <dataValidation type="decimal" allowBlank="1" showInputMessage="1" showErrorMessage="1" promptTitle="Standard Deviation PMPM" prompt="See &quot;Definitions&quot; tab. No negative values." sqref="E16:E60 E11:E15" xr:uid="{C955D97E-959D-433F-A7D6-86F444487F8D}">
      <formula1>0</formula1>
      <formula2>10000000000000</formula2>
    </dataValidation>
    <dataValidation type="decimal" allowBlank="1" showInputMessage="1" showErrorMessage="1" promptTitle="Total Truncated Spending" prompt="See &quot;Definitions&quot; Tab. No negative values." sqref="D16:D60 D11:D15" xr:uid="{1E047D84-7EBF-4D09-8017-57AB92437FE0}">
      <formula1>0</formula1>
      <formula2>100000000000000</formula2>
    </dataValidation>
    <dataValidation allowBlank="1" showInputMessage="1" showErrorMessage="1" error="See &quot;Definitions&quot; tab." promptTitle="Member Months" prompt="See &quot;Definitions&quot; tab." sqref="C16:C60 C11:C15" xr:uid="{A79EAF7A-BD24-4F03-A70F-1503D820CB7E}"/>
  </dataValidations>
  <hyperlinks>
    <hyperlink ref="D3:E3" location="TruncSpendSDbyMkt" display="Check for alignment of truncated spending by market" xr:uid="{FFB14691-6B59-4391-B068-D0A4EFA46BE1}"/>
  </hyperlinks>
  <pageMargins left="0.7" right="0.7" top="0.75" bottom="0.75" header="0.3" footer="0.3"/>
  <pageSetup orientation="portrait" horizontalDpi="1200" verticalDpi="1200"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operator="equal" allowBlank="1" showDropDown="1" showInputMessage="1" showErrorMessage="1" error="Please input the valid Market name (Medicare, Medicaid, or commercial). " promptTitle="Market" prompt="Each market combines ICCs (see Definitions tab):_x000a_-Medicare: ICC 1 and ICC 5_x000a_-Medicaid: ICC 2 and ICC 6_x000a_-Commercial: ICC 3 and ICC 4_x000a_-Other (please explain in the &quot;Insurer Comments&quot; column in the &quot;HD-TME&quot; tab)" xr:uid="{D034F338-F594-4C11-9302-E74F06147965}">
          <x14:formula1>
            <xm:f>'Reference Tables'!$A$22:$A$24</xm:f>
          </x14:formula1>
          <xm:sqref>B32:B60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74140-7851-4300-BDBF-3A569B8925F4}">
  <sheetPr codeName="Sheet14">
    <tabColor theme="8"/>
  </sheetPr>
  <dimension ref="A1:J1096"/>
  <sheetViews>
    <sheetView workbookViewId="0"/>
  </sheetViews>
  <sheetFormatPr defaultColWidth="9.1796875" defaultRowHeight="14.5" x14ac:dyDescent="0.35"/>
  <cols>
    <col min="1" max="9" width="25.54296875" customWidth="1"/>
    <col min="10" max="10" width="28.81640625" customWidth="1"/>
    <col min="11" max="12" width="11.7265625" customWidth="1"/>
    <col min="13" max="17" width="20.7265625" customWidth="1"/>
  </cols>
  <sheetData>
    <row r="1" spans="1:10" x14ac:dyDescent="0.35">
      <c r="A1" s="1" t="s">
        <v>181</v>
      </c>
    </row>
    <row r="2" spans="1:10" x14ac:dyDescent="0.35">
      <c r="A2" s="1" t="s">
        <v>522</v>
      </c>
    </row>
    <row r="4" spans="1:10" x14ac:dyDescent="0.35">
      <c r="A4" t="s">
        <v>227</v>
      </c>
    </row>
    <row r="5" spans="1:10" x14ac:dyDescent="0.35">
      <c r="A5" s="139"/>
    </row>
    <row r="6" spans="1:10" x14ac:dyDescent="0.35">
      <c r="A6" t="s">
        <v>585</v>
      </c>
    </row>
    <row r="7" spans="1:10" x14ac:dyDescent="0.35">
      <c r="A7" s="1"/>
      <c r="C7" s="3" t="s">
        <v>64</v>
      </c>
      <c r="D7" s="3" t="s">
        <v>65</v>
      </c>
      <c r="E7" s="3" t="s">
        <v>66</v>
      </c>
      <c r="F7" s="3" t="s">
        <v>67</v>
      </c>
      <c r="G7" s="3" t="s">
        <v>68</v>
      </c>
      <c r="H7" s="3" t="s">
        <v>69</v>
      </c>
      <c r="I7" s="3" t="s">
        <v>70</v>
      </c>
      <c r="J7" s="3" t="s">
        <v>71</v>
      </c>
    </row>
    <row r="8" spans="1:10" ht="58" x14ac:dyDescent="0.35">
      <c r="A8" s="141" t="s">
        <v>646</v>
      </c>
      <c r="B8" s="142" t="s">
        <v>3</v>
      </c>
      <c r="C8" s="142" t="s">
        <v>528</v>
      </c>
      <c r="D8" s="142" t="s">
        <v>584</v>
      </c>
      <c r="E8" s="142" t="s">
        <v>228</v>
      </c>
      <c r="F8" s="142" t="s">
        <v>244</v>
      </c>
      <c r="G8" s="142" t="s">
        <v>252</v>
      </c>
      <c r="H8" s="142" t="s">
        <v>194</v>
      </c>
      <c r="I8" s="143" t="s">
        <v>195</v>
      </c>
      <c r="J8" s="512" t="s">
        <v>763</v>
      </c>
    </row>
    <row r="9" spans="1:10" x14ac:dyDescent="0.35">
      <c r="A9" s="189"/>
      <c r="B9" s="547"/>
      <c r="C9" s="8"/>
      <c r="D9" s="8"/>
      <c r="E9" s="236"/>
      <c r="F9" s="226"/>
      <c r="G9" s="376"/>
      <c r="H9" s="226"/>
      <c r="I9" s="237"/>
      <c r="J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0" spans="1:10" x14ac:dyDescent="0.35">
      <c r="A10" s="189"/>
      <c r="B10" s="542"/>
      <c r="C10" s="8"/>
      <c r="D10" s="8"/>
      <c r="E10" s="236"/>
      <c r="F10" s="226"/>
      <c r="G10" s="376"/>
      <c r="H10" s="226"/>
      <c r="I10" s="237"/>
      <c r="J1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1" spans="1:10" x14ac:dyDescent="0.35">
      <c r="A11" s="189"/>
      <c r="B11" s="542"/>
      <c r="C11" s="8"/>
      <c r="D11" s="8"/>
      <c r="E11" s="236"/>
      <c r="F11" s="226"/>
      <c r="G11" s="376"/>
      <c r="H11" s="226"/>
      <c r="I11" s="237"/>
      <c r="J1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2" spans="1:10" x14ac:dyDescent="0.35">
      <c r="A12" s="189"/>
      <c r="B12" s="542"/>
      <c r="C12" s="8"/>
      <c r="D12" s="8"/>
      <c r="E12" s="236"/>
      <c r="F12" s="226"/>
      <c r="G12" s="376"/>
      <c r="H12" s="226"/>
      <c r="I12" s="237"/>
      <c r="J1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3" spans="1:10" x14ac:dyDescent="0.35">
      <c r="A13" s="189"/>
      <c r="B13" s="542"/>
      <c r="C13" s="8"/>
      <c r="D13" s="8"/>
      <c r="E13" s="236"/>
      <c r="F13" s="226"/>
      <c r="G13" s="376"/>
      <c r="H13" s="226"/>
      <c r="I13" s="237"/>
      <c r="J1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4" spans="1:10" x14ac:dyDescent="0.35">
      <c r="A14" s="189"/>
      <c r="B14" s="542"/>
      <c r="C14" s="8"/>
      <c r="D14" s="8"/>
      <c r="E14" s="236"/>
      <c r="F14" s="226"/>
      <c r="G14" s="376"/>
      <c r="H14" s="226"/>
      <c r="I14" s="237"/>
      <c r="J1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5" spans="1:10" x14ac:dyDescent="0.35">
      <c r="A15" s="189"/>
      <c r="B15" s="542"/>
      <c r="C15" s="8"/>
      <c r="D15" s="8"/>
      <c r="E15" s="236"/>
      <c r="F15" s="226"/>
      <c r="G15" s="376"/>
      <c r="H15" s="226"/>
      <c r="I15" s="237"/>
      <c r="J1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6" spans="1:10" x14ac:dyDescent="0.35">
      <c r="A16" s="189"/>
      <c r="B16" s="542"/>
      <c r="C16" s="8"/>
      <c r="D16" s="8"/>
      <c r="E16" s="236"/>
      <c r="F16" s="226"/>
      <c r="G16" s="376"/>
      <c r="H16" s="226"/>
      <c r="I16" s="237"/>
      <c r="J1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7" spans="1:10" x14ac:dyDescent="0.35">
      <c r="A17" s="189"/>
      <c r="B17" s="542"/>
      <c r="C17" s="8"/>
      <c r="D17" s="8"/>
      <c r="E17" s="236"/>
      <c r="F17" s="226"/>
      <c r="G17" s="376"/>
      <c r="H17" s="226"/>
      <c r="I17" s="237"/>
      <c r="J1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8" spans="1:10" x14ac:dyDescent="0.35">
      <c r="A18" s="189"/>
      <c r="B18" s="542"/>
      <c r="C18" s="8"/>
      <c r="D18" s="8"/>
      <c r="E18" s="236"/>
      <c r="F18" s="226"/>
      <c r="G18" s="376"/>
      <c r="H18" s="226"/>
      <c r="I18" s="237"/>
      <c r="J1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9" spans="1:10" x14ac:dyDescent="0.35">
      <c r="A19" s="189"/>
      <c r="B19" s="542"/>
      <c r="C19" s="8"/>
      <c r="D19" s="8"/>
      <c r="E19" s="236"/>
      <c r="F19" s="226"/>
      <c r="G19" s="376"/>
      <c r="H19" s="226"/>
      <c r="I19" s="237"/>
      <c r="J1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0" spans="1:10" x14ac:dyDescent="0.35">
      <c r="A20" s="189"/>
      <c r="B20" s="542"/>
      <c r="C20" s="8"/>
      <c r="D20" s="8"/>
      <c r="E20" s="236"/>
      <c r="F20" s="226"/>
      <c r="G20" s="376"/>
      <c r="H20" s="226"/>
      <c r="I20" s="237"/>
      <c r="J2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1" spans="1:10" x14ac:dyDescent="0.35">
      <c r="A21" s="189"/>
      <c r="B21" s="542"/>
      <c r="C21" s="8"/>
      <c r="D21" s="8"/>
      <c r="E21" s="236"/>
      <c r="F21" s="226"/>
      <c r="G21" s="376"/>
      <c r="H21" s="226"/>
      <c r="I21" s="237"/>
      <c r="J2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2" spans="1:10" x14ac:dyDescent="0.35">
      <c r="A22" s="189"/>
      <c r="B22" s="542"/>
      <c r="C22" s="8"/>
      <c r="D22" s="8"/>
      <c r="E22" s="236"/>
      <c r="F22" s="226"/>
      <c r="G22" s="376"/>
      <c r="H22" s="226"/>
      <c r="I22" s="237"/>
      <c r="J2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3" spans="1:10" x14ac:dyDescent="0.35">
      <c r="A23" s="189"/>
      <c r="B23" s="542"/>
      <c r="C23" s="8"/>
      <c r="D23" s="8"/>
      <c r="E23" s="236"/>
      <c r="F23" s="226"/>
      <c r="G23" s="376"/>
      <c r="H23" s="226"/>
      <c r="I23" s="237"/>
      <c r="J2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4" spans="1:10" x14ac:dyDescent="0.35">
      <c r="A24" s="189"/>
      <c r="B24" s="542"/>
      <c r="C24" s="8"/>
      <c r="D24" s="8"/>
      <c r="E24" s="236"/>
      <c r="F24" s="226"/>
      <c r="G24" s="376"/>
      <c r="H24" s="226"/>
      <c r="I24" s="237"/>
      <c r="J2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5" spans="1:10" x14ac:dyDescent="0.35">
      <c r="A25" s="189"/>
      <c r="B25" s="542"/>
      <c r="C25" s="8"/>
      <c r="D25" s="8"/>
      <c r="E25" s="238"/>
      <c r="F25" s="239"/>
      <c r="G25" s="377"/>
      <c r="H25" s="239"/>
      <c r="I25" s="240"/>
      <c r="J2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6" spans="1:10" x14ac:dyDescent="0.35">
      <c r="A26" s="189"/>
      <c r="B26" s="541"/>
      <c r="C26" s="8"/>
      <c r="D26" s="8"/>
      <c r="E26" s="236"/>
      <c r="F26" s="226"/>
      <c r="G26" s="376"/>
      <c r="H26" s="226"/>
      <c r="I26" s="237"/>
      <c r="J2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7" spans="1:10" x14ac:dyDescent="0.35">
      <c r="A27" s="189"/>
      <c r="B27" s="546"/>
      <c r="C27" s="8"/>
      <c r="D27" s="8"/>
      <c r="E27" s="236"/>
      <c r="F27" s="226"/>
      <c r="G27" s="376"/>
      <c r="H27" s="226"/>
      <c r="I27" s="237"/>
      <c r="J2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8" spans="1:10" x14ac:dyDescent="0.35">
      <c r="A28" s="189"/>
      <c r="B28" s="542"/>
      <c r="C28" s="8"/>
      <c r="D28" s="8"/>
      <c r="E28" s="236"/>
      <c r="F28" s="226"/>
      <c r="G28" s="376"/>
      <c r="H28" s="226"/>
      <c r="I28" s="237"/>
      <c r="J2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9" spans="1:10" x14ac:dyDescent="0.35">
      <c r="A29" s="189"/>
      <c r="B29" s="546"/>
      <c r="C29" s="8"/>
      <c r="D29" s="8"/>
      <c r="E29" s="236"/>
      <c r="F29" s="226"/>
      <c r="G29" s="376"/>
      <c r="H29" s="226"/>
      <c r="I29" s="237"/>
      <c r="J2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0" spans="1:10" x14ac:dyDescent="0.35">
      <c r="A30" s="189"/>
      <c r="B30" s="542"/>
      <c r="C30" s="8"/>
      <c r="D30" s="8"/>
      <c r="E30" s="236"/>
      <c r="F30" s="226"/>
      <c r="G30" s="376"/>
      <c r="H30" s="226"/>
      <c r="I30" s="237"/>
      <c r="J3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1" spans="1:10" x14ac:dyDescent="0.35">
      <c r="A31" s="189"/>
      <c r="B31" s="546"/>
      <c r="C31" s="8"/>
      <c r="D31" s="8"/>
      <c r="E31" s="236"/>
      <c r="F31" s="226"/>
      <c r="G31" s="376"/>
      <c r="H31" s="226"/>
      <c r="I31" s="237"/>
      <c r="J3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2" spans="1:10" x14ac:dyDescent="0.35">
      <c r="A32" s="189"/>
      <c r="B32" s="542"/>
      <c r="C32" s="8"/>
      <c r="D32" s="8"/>
      <c r="E32" s="236"/>
      <c r="F32" s="226"/>
      <c r="G32" s="376"/>
      <c r="H32" s="226"/>
      <c r="I32" s="237"/>
      <c r="J3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3" spans="1:10" x14ac:dyDescent="0.35">
      <c r="A33" s="189"/>
      <c r="B33" s="546"/>
      <c r="C33" s="8"/>
      <c r="D33" s="8"/>
      <c r="E33" s="236"/>
      <c r="F33" s="226"/>
      <c r="G33" s="376"/>
      <c r="H33" s="226"/>
      <c r="I33" s="237"/>
      <c r="J3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4" spans="1:10" x14ac:dyDescent="0.35">
      <c r="A34" s="189"/>
      <c r="B34" s="542"/>
      <c r="C34" s="8"/>
      <c r="D34" s="8"/>
      <c r="E34" s="236"/>
      <c r="F34" s="226"/>
      <c r="G34" s="376"/>
      <c r="H34" s="226"/>
      <c r="I34" s="237"/>
      <c r="J3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5" spans="1:10" x14ac:dyDescent="0.35">
      <c r="A35" s="189"/>
      <c r="B35" s="546"/>
      <c r="C35" s="8"/>
      <c r="D35" s="8"/>
      <c r="E35" s="236"/>
      <c r="F35" s="226"/>
      <c r="G35" s="376"/>
      <c r="H35" s="226"/>
      <c r="I35" s="237"/>
      <c r="J3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6" spans="1:10" x14ac:dyDescent="0.35">
      <c r="A36" s="189"/>
      <c r="B36" s="542"/>
      <c r="C36" s="8"/>
      <c r="D36" s="8"/>
      <c r="E36" s="236"/>
      <c r="F36" s="226"/>
      <c r="G36" s="376"/>
      <c r="H36" s="226"/>
      <c r="I36" s="237"/>
      <c r="J3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7" spans="1:10" x14ac:dyDescent="0.35">
      <c r="A37" s="189"/>
      <c r="B37" s="546"/>
      <c r="C37" s="8"/>
      <c r="D37" s="8"/>
      <c r="E37" s="236"/>
      <c r="F37" s="226"/>
      <c r="G37" s="376"/>
      <c r="H37" s="226"/>
      <c r="I37" s="237"/>
      <c r="J3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8" spans="1:10" x14ac:dyDescent="0.35">
      <c r="A38" s="189"/>
      <c r="B38" s="542"/>
      <c r="C38" s="8"/>
      <c r="D38" s="8"/>
      <c r="E38" s="236"/>
      <c r="F38" s="226"/>
      <c r="G38" s="376"/>
      <c r="H38" s="226"/>
      <c r="I38" s="237"/>
      <c r="J3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9" spans="1:10" x14ac:dyDescent="0.35">
      <c r="A39" s="189"/>
      <c r="B39" s="546"/>
      <c r="C39" s="8"/>
      <c r="D39" s="8"/>
      <c r="E39" s="236"/>
      <c r="F39" s="226"/>
      <c r="G39" s="376"/>
      <c r="H39" s="226"/>
      <c r="I39" s="237"/>
      <c r="J3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0" spans="1:10" x14ac:dyDescent="0.35">
      <c r="A40" s="189"/>
      <c r="B40" s="542"/>
      <c r="C40" s="8"/>
      <c r="D40" s="8"/>
      <c r="E40" s="236"/>
      <c r="F40" s="226"/>
      <c r="G40" s="376"/>
      <c r="H40" s="226"/>
      <c r="I40" s="237"/>
      <c r="J4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1" spans="1:10" x14ac:dyDescent="0.35">
      <c r="A41" s="189"/>
      <c r="B41" s="546"/>
      <c r="C41" s="8"/>
      <c r="D41" s="8"/>
      <c r="E41" s="236"/>
      <c r="F41" s="226"/>
      <c r="G41" s="376"/>
      <c r="H41" s="226"/>
      <c r="I41" s="237"/>
      <c r="J4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2" spans="1:10" x14ac:dyDescent="0.35">
      <c r="A42" s="189"/>
      <c r="B42" s="542"/>
      <c r="C42" s="8"/>
      <c r="D42" s="8"/>
      <c r="E42" s="238"/>
      <c r="F42" s="239"/>
      <c r="G42" s="377"/>
      <c r="H42" s="239"/>
      <c r="I42" s="240"/>
      <c r="J4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3" spans="1:10" x14ac:dyDescent="0.35">
      <c r="A43" s="189"/>
      <c r="B43" s="547"/>
      <c r="C43" s="8"/>
      <c r="D43" s="8"/>
      <c r="E43" s="236"/>
      <c r="F43" s="226"/>
      <c r="G43" s="376"/>
      <c r="H43" s="226"/>
      <c r="I43" s="237"/>
      <c r="J4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4" spans="1:10" x14ac:dyDescent="0.35">
      <c r="A44" s="189"/>
      <c r="B44" s="542"/>
      <c r="C44" s="8"/>
      <c r="D44" s="8"/>
      <c r="E44" s="236"/>
      <c r="F44" s="226"/>
      <c r="G44" s="376"/>
      <c r="H44" s="226"/>
      <c r="I44" s="237"/>
      <c r="J4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5" spans="1:10" x14ac:dyDescent="0.35">
      <c r="A45" s="189"/>
      <c r="B45" s="546"/>
      <c r="C45" s="8"/>
      <c r="D45" s="8"/>
      <c r="E45" s="236"/>
      <c r="F45" s="226"/>
      <c r="G45" s="376"/>
      <c r="H45" s="226"/>
      <c r="I45" s="237"/>
      <c r="J4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6" spans="1:10" x14ac:dyDescent="0.35">
      <c r="A46" s="189"/>
      <c r="B46" s="542"/>
      <c r="C46" s="8"/>
      <c r="D46" s="8"/>
      <c r="E46" s="236"/>
      <c r="F46" s="226"/>
      <c r="G46" s="376"/>
      <c r="H46" s="226"/>
      <c r="I46" s="237"/>
      <c r="J4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7" spans="1:10" x14ac:dyDescent="0.35">
      <c r="A47" s="189"/>
      <c r="B47" s="546"/>
      <c r="C47" s="8"/>
      <c r="D47" s="8"/>
      <c r="E47" s="236"/>
      <c r="F47" s="226"/>
      <c r="G47" s="376"/>
      <c r="H47" s="226"/>
      <c r="I47" s="237"/>
      <c r="J4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8" spans="1:10" x14ac:dyDescent="0.35">
      <c r="A48" s="189"/>
      <c r="B48" s="542"/>
      <c r="C48" s="8"/>
      <c r="D48" s="8"/>
      <c r="E48" s="236"/>
      <c r="F48" s="226"/>
      <c r="G48" s="376"/>
      <c r="H48" s="226"/>
      <c r="I48" s="237"/>
      <c r="J4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9" spans="1:10" x14ac:dyDescent="0.35">
      <c r="A49" s="189"/>
      <c r="B49" s="546"/>
      <c r="C49" s="8"/>
      <c r="D49" s="8"/>
      <c r="E49" s="236"/>
      <c r="F49" s="226"/>
      <c r="G49" s="376"/>
      <c r="H49" s="226"/>
      <c r="I49" s="237"/>
      <c r="J4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50" spans="1:10" x14ac:dyDescent="0.35">
      <c r="A50" s="189"/>
      <c r="B50" s="542"/>
      <c r="C50" s="8"/>
      <c r="D50" s="8"/>
      <c r="E50" s="236"/>
      <c r="F50" s="226"/>
      <c r="G50" s="376"/>
      <c r="H50" s="226"/>
      <c r="I50" s="237"/>
      <c r="J5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51" spans="1:10" x14ac:dyDescent="0.35">
      <c r="A51" s="189"/>
      <c r="B51" s="546"/>
      <c r="C51" s="8"/>
      <c r="D51" s="8"/>
      <c r="E51" s="236"/>
      <c r="F51" s="226"/>
      <c r="G51" s="376"/>
      <c r="H51" s="226"/>
      <c r="I51" s="237"/>
      <c r="J5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52" spans="1:10" x14ac:dyDescent="0.35">
      <c r="A52" s="189"/>
      <c r="B52" s="542"/>
      <c r="C52" s="8"/>
      <c r="D52" s="8"/>
      <c r="E52" s="236"/>
      <c r="F52" s="226"/>
      <c r="G52" s="376"/>
      <c r="H52" s="226"/>
      <c r="I52" s="237"/>
      <c r="J5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53" spans="1:10" x14ac:dyDescent="0.35">
      <c r="A53" s="189"/>
      <c r="B53" s="546"/>
      <c r="C53" s="8"/>
      <c r="D53" s="8"/>
      <c r="E53" s="236"/>
      <c r="F53" s="226"/>
      <c r="G53" s="376"/>
      <c r="H53" s="226"/>
      <c r="I53" s="237"/>
      <c r="J5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54" spans="1:10" x14ac:dyDescent="0.35">
      <c r="A54" s="189"/>
      <c r="B54" s="542"/>
      <c r="C54" s="8"/>
      <c r="D54" s="8"/>
      <c r="E54" s="236"/>
      <c r="F54" s="226"/>
      <c r="G54" s="376"/>
      <c r="H54" s="226"/>
      <c r="I54" s="237"/>
      <c r="J5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55" spans="1:10" x14ac:dyDescent="0.35">
      <c r="A55" s="189"/>
      <c r="B55" s="546"/>
      <c r="C55" s="8"/>
      <c r="D55" s="8"/>
      <c r="E55" s="236"/>
      <c r="F55" s="226"/>
      <c r="G55" s="376"/>
      <c r="H55" s="226"/>
      <c r="I55" s="237"/>
      <c r="J5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56" spans="1:10" x14ac:dyDescent="0.35">
      <c r="A56" s="189"/>
      <c r="B56" s="542"/>
      <c r="C56" s="8"/>
      <c r="D56" s="8"/>
      <c r="E56" s="236"/>
      <c r="F56" s="226"/>
      <c r="G56" s="376"/>
      <c r="H56" s="226"/>
      <c r="I56" s="237"/>
      <c r="J5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57" spans="1:10" x14ac:dyDescent="0.35">
      <c r="A57" s="189"/>
      <c r="B57" s="546"/>
      <c r="C57" s="8"/>
      <c r="D57" s="8"/>
      <c r="E57" s="236"/>
      <c r="F57" s="226"/>
      <c r="G57" s="376"/>
      <c r="H57" s="226"/>
      <c r="I57" s="237"/>
      <c r="J5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58" spans="1:10" x14ac:dyDescent="0.35">
      <c r="A58" s="189"/>
      <c r="B58" s="542"/>
      <c r="C58" s="8"/>
      <c r="D58" s="8"/>
      <c r="E58" s="236"/>
      <c r="F58" s="226"/>
      <c r="G58" s="376"/>
      <c r="H58" s="226"/>
      <c r="I58" s="237"/>
      <c r="J5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59" spans="1:10" x14ac:dyDescent="0.35">
      <c r="A59" s="189"/>
      <c r="B59" s="546"/>
      <c r="C59" s="8"/>
      <c r="D59" s="8"/>
      <c r="E59" s="238"/>
      <c r="F59" s="239"/>
      <c r="G59" s="377"/>
      <c r="H59" s="239"/>
      <c r="I59" s="240"/>
      <c r="J5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60" spans="1:10" x14ac:dyDescent="0.35">
      <c r="A60" s="189"/>
      <c r="B60" s="541"/>
      <c r="C60" s="8"/>
      <c r="D60" s="8"/>
      <c r="E60" s="236"/>
      <c r="F60" s="226"/>
      <c r="G60" s="376"/>
      <c r="H60" s="226"/>
      <c r="I60" s="237"/>
      <c r="J6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61" spans="1:10" x14ac:dyDescent="0.35">
      <c r="A61" s="189"/>
      <c r="B61" s="546"/>
      <c r="C61" s="8"/>
      <c r="D61" s="8"/>
      <c r="E61" s="236"/>
      <c r="F61" s="226"/>
      <c r="G61" s="376"/>
      <c r="H61" s="226"/>
      <c r="I61" s="237"/>
      <c r="J6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62" spans="1:10" x14ac:dyDescent="0.35">
      <c r="A62" s="189"/>
      <c r="B62" s="542"/>
      <c r="C62" s="8"/>
      <c r="D62" s="8"/>
      <c r="E62" s="236"/>
      <c r="F62" s="226"/>
      <c r="G62" s="376"/>
      <c r="H62" s="226"/>
      <c r="I62" s="237"/>
      <c r="J6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63" spans="1:10" x14ac:dyDescent="0.35">
      <c r="A63" s="189"/>
      <c r="B63" s="546"/>
      <c r="C63" s="8"/>
      <c r="D63" s="8"/>
      <c r="E63" s="236"/>
      <c r="F63" s="226"/>
      <c r="G63" s="376"/>
      <c r="H63" s="226"/>
      <c r="I63" s="237"/>
      <c r="J6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64" spans="1:10" x14ac:dyDescent="0.35">
      <c r="A64" s="189"/>
      <c r="B64" s="542"/>
      <c r="C64" s="8"/>
      <c r="D64" s="8"/>
      <c r="E64" s="236"/>
      <c r="F64" s="226"/>
      <c r="G64" s="376"/>
      <c r="H64" s="226"/>
      <c r="I64" s="237"/>
      <c r="J6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65" spans="1:10" x14ac:dyDescent="0.35">
      <c r="A65" s="189"/>
      <c r="B65" s="546"/>
      <c r="C65" s="8"/>
      <c r="D65" s="8"/>
      <c r="E65" s="236"/>
      <c r="F65" s="226"/>
      <c r="G65" s="376"/>
      <c r="H65" s="226"/>
      <c r="I65" s="237"/>
      <c r="J6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66" spans="1:10" x14ac:dyDescent="0.35">
      <c r="A66" s="189"/>
      <c r="B66" s="542"/>
      <c r="C66" s="8"/>
      <c r="D66" s="8"/>
      <c r="E66" s="236"/>
      <c r="F66" s="226"/>
      <c r="G66" s="376"/>
      <c r="H66" s="226"/>
      <c r="I66" s="237"/>
      <c r="J6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67" spans="1:10" x14ac:dyDescent="0.35">
      <c r="A67" s="189"/>
      <c r="B67" s="546"/>
      <c r="C67" s="8"/>
      <c r="D67" s="8"/>
      <c r="E67" s="236"/>
      <c r="F67" s="226"/>
      <c r="G67" s="376"/>
      <c r="H67" s="226"/>
      <c r="I67" s="237"/>
      <c r="J6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68" spans="1:10" x14ac:dyDescent="0.35">
      <c r="A68" s="189"/>
      <c r="B68" s="542"/>
      <c r="C68" s="8"/>
      <c r="D68" s="8"/>
      <c r="E68" s="236"/>
      <c r="F68" s="226"/>
      <c r="G68" s="376"/>
      <c r="H68" s="226"/>
      <c r="I68" s="237"/>
      <c r="J6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69" spans="1:10" x14ac:dyDescent="0.35">
      <c r="A69" s="189"/>
      <c r="B69" s="546"/>
      <c r="C69" s="8"/>
      <c r="D69" s="8"/>
      <c r="E69" s="236"/>
      <c r="F69" s="226"/>
      <c r="G69" s="376"/>
      <c r="H69" s="226"/>
      <c r="I69" s="237"/>
      <c r="J6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70" spans="1:10" x14ac:dyDescent="0.35">
      <c r="A70" s="189"/>
      <c r="B70" s="542"/>
      <c r="C70" s="8"/>
      <c r="D70" s="8"/>
      <c r="E70" s="236"/>
      <c r="F70" s="226"/>
      <c r="G70" s="376"/>
      <c r="H70" s="226"/>
      <c r="I70" s="237"/>
      <c r="J7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71" spans="1:10" x14ac:dyDescent="0.35">
      <c r="A71" s="189"/>
      <c r="B71" s="546"/>
      <c r="C71" s="8"/>
      <c r="D71" s="8"/>
      <c r="E71" s="236"/>
      <c r="F71" s="226"/>
      <c r="G71" s="376"/>
      <c r="H71" s="226"/>
      <c r="I71" s="237"/>
      <c r="J7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72" spans="1:10" x14ac:dyDescent="0.35">
      <c r="A72" s="189"/>
      <c r="B72" s="542"/>
      <c r="C72" s="8"/>
      <c r="D72" s="8"/>
      <c r="E72" s="236"/>
      <c r="F72" s="226"/>
      <c r="G72" s="376"/>
      <c r="H72" s="226"/>
      <c r="I72" s="237"/>
      <c r="J7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73" spans="1:10" x14ac:dyDescent="0.35">
      <c r="A73" s="189"/>
      <c r="B73" s="546"/>
      <c r="C73" s="8"/>
      <c r="D73" s="8"/>
      <c r="E73" s="236"/>
      <c r="F73" s="226"/>
      <c r="G73" s="376"/>
      <c r="H73" s="226"/>
      <c r="I73" s="237"/>
      <c r="J7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74" spans="1:10" x14ac:dyDescent="0.35">
      <c r="A74" s="189"/>
      <c r="B74" s="542"/>
      <c r="C74" s="8"/>
      <c r="D74" s="8"/>
      <c r="E74" s="236"/>
      <c r="F74" s="226"/>
      <c r="G74" s="376"/>
      <c r="H74" s="226"/>
      <c r="I74" s="237"/>
      <c r="J7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75" spans="1:10" x14ac:dyDescent="0.35">
      <c r="A75" s="189"/>
      <c r="B75" s="546"/>
      <c r="C75" s="8"/>
      <c r="D75" s="8"/>
      <c r="E75" s="236"/>
      <c r="F75" s="226"/>
      <c r="G75" s="376"/>
      <c r="H75" s="226"/>
      <c r="I75" s="237"/>
      <c r="J7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76" spans="1:10" x14ac:dyDescent="0.35">
      <c r="A76" s="189"/>
      <c r="B76" s="542"/>
      <c r="C76" s="8"/>
      <c r="D76" s="8"/>
      <c r="E76" s="238"/>
      <c r="F76" s="239"/>
      <c r="G76" s="377"/>
      <c r="H76" s="239"/>
      <c r="I76" s="240"/>
      <c r="J7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77" spans="1:10" x14ac:dyDescent="0.35">
      <c r="A77" s="189"/>
      <c r="B77" s="547"/>
      <c r="C77" s="8"/>
      <c r="D77" s="8"/>
      <c r="E77" s="236"/>
      <c r="F77" s="226"/>
      <c r="G77" s="376"/>
      <c r="H77" s="226"/>
      <c r="I77" s="237"/>
      <c r="J7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78" spans="1:10" x14ac:dyDescent="0.35">
      <c r="A78" s="189"/>
      <c r="B78" s="542"/>
      <c r="C78" s="8"/>
      <c r="D78" s="8"/>
      <c r="E78" s="236"/>
      <c r="F78" s="226"/>
      <c r="G78" s="376"/>
      <c r="H78" s="226"/>
      <c r="I78" s="237"/>
      <c r="J7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79" spans="1:10" x14ac:dyDescent="0.35">
      <c r="A79" s="189"/>
      <c r="B79" s="546"/>
      <c r="C79" s="8"/>
      <c r="D79" s="8"/>
      <c r="E79" s="236"/>
      <c r="F79" s="226"/>
      <c r="G79" s="376"/>
      <c r="H79" s="226"/>
      <c r="I79" s="237"/>
      <c r="J7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80" spans="1:10" x14ac:dyDescent="0.35">
      <c r="A80" s="189"/>
      <c r="B80" s="542"/>
      <c r="C80" s="8"/>
      <c r="D80" s="8"/>
      <c r="E80" s="236"/>
      <c r="F80" s="226"/>
      <c r="G80" s="376"/>
      <c r="H80" s="226"/>
      <c r="I80" s="237"/>
      <c r="J8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81" spans="1:10" x14ac:dyDescent="0.35">
      <c r="A81" s="189"/>
      <c r="B81" s="546"/>
      <c r="C81" s="8"/>
      <c r="D81" s="8"/>
      <c r="E81" s="236"/>
      <c r="F81" s="226"/>
      <c r="G81" s="376"/>
      <c r="H81" s="226"/>
      <c r="I81" s="237"/>
      <c r="J8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82" spans="1:10" x14ac:dyDescent="0.35">
      <c r="A82" s="189"/>
      <c r="B82" s="542"/>
      <c r="C82" s="8"/>
      <c r="D82" s="8"/>
      <c r="E82" s="236"/>
      <c r="F82" s="226"/>
      <c r="G82" s="376"/>
      <c r="H82" s="226"/>
      <c r="I82" s="237"/>
      <c r="J8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83" spans="1:10" x14ac:dyDescent="0.35">
      <c r="A83" s="189"/>
      <c r="B83" s="546"/>
      <c r="C83" s="8"/>
      <c r="D83" s="8"/>
      <c r="E83" s="236"/>
      <c r="F83" s="226"/>
      <c r="G83" s="376"/>
      <c r="H83" s="226"/>
      <c r="I83" s="237"/>
      <c r="J8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84" spans="1:10" x14ac:dyDescent="0.35">
      <c r="A84" s="189"/>
      <c r="B84" s="542"/>
      <c r="C84" s="8"/>
      <c r="D84" s="8"/>
      <c r="E84" s="236"/>
      <c r="F84" s="226"/>
      <c r="G84" s="376"/>
      <c r="H84" s="226"/>
      <c r="I84" s="237"/>
      <c r="J8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85" spans="1:10" x14ac:dyDescent="0.35">
      <c r="A85" s="189"/>
      <c r="B85" s="546"/>
      <c r="C85" s="8"/>
      <c r="D85" s="8"/>
      <c r="E85" s="236"/>
      <c r="F85" s="226"/>
      <c r="G85" s="376"/>
      <c r="H85" s="226"/>
      <c r="I85" s="237"/>
      <c r="J8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86" spans="1:10" x14ac:dyDescent="0.35">
      <c r="A86" s="189"/>
      <c r="B86" s="542"/>
      <c r="C86" s="8"/>
      <c r="D86" s="8"/>
      <c r="E86" s="236"/>
      <c r="F86" s="226"/>
      <c r="G86" s="376"/>
      <c r="H86" s="226"/>
      <c r="I86" s="237"/>
      <c r="J8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87" spans="1:10" x14ac:dyDescent="0.35">
      <c r="A87" s="189"/>
      <c r="B87" s="546"/>
      <c r="C87" s="8"/>
      <c r="D87" s="8"/>
      <c r="E87" s="236"/>
      <c r="F87" s="226"/>
      <c r="G87" s="376"/>
      <c r="H87" s="226"/>
      <c r="I87" s="237"/>
      <c r="J8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88" spans="1:10" x14ac:dyDescent="0.35">
      <c r="A88" s="189"/>
      <c r="B88" s="542"/>
      <c r="C88" s="8"/>
      <c r="D88" s="8"/>
      <c r="E88" s="236"/>
      <c r="F88" s="226"/>
      <c r="G88" s="376"/>
      <c r="H88" s="226"/>
      <c r="I88" s="237"/>
      <c r="J8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89" spans="1:10" x14ac:dyDescent="0.35">
      <c r="A89" s="189"/>
      <c r="B89" s="546"/>
      <c r="C89" s="8"/>
      <c r="D89" s="8"/>
      <c r="E89" s="236"/>
      <c r="F89" s="226"/>
      <c r="G89" s="376"/>
      <c r="H89" s="226"/>
      <c r="I89" s="237"/>
      <c r="J8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90" spans="1:10" x14ac:dyDescent="0.35">
      <c r="A90" s="189"/>
      <c r="B90" s="542"/>
      <c r="C90" s="8"/>
      <c r="D90" s="8"/>
      <c r="E90" s="236"/>
      <c r="F90" s="226"/>
      <c r="G90" s="376"/>
      <c r="H90" s="226"/>
      <c r="I90" s="237"/>
      <c r="J9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91" spans="1:10" x14ac:dyDescent="0.35">
      <c r="A91" s="189"/>
      <c r="B91" s="546"/>
      <c r="C91" s="8"/>
      <c r="D91" s="8"/>
      <c r="E91" s="236"/>
      <c r="F91" s="226"/>
      <c r="G91" s="376"/>
      <c r="H91" s="226"/>
      <c r="I91" s="237"/>
      <c r="J9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92" spans="1:10" x14ac:dyDescent="0.35">
      <c r="A92" s="189"/>
      <c r="B92" s="542"/>
      <c r="C92" s="8"/>
      <c r="D92" s="8"/>
      <c r="E92" s="236"/>
      <c r="F92" s="226"/>
      <c r="G92" s="376"/>
      <c r="H92" s="226"/>
      <c r="I92" s="237"/>
      <c r="J9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93" spans="1:10" x14ac:dyDescent="0.35">
      <c r="A93" s="189"/>
      <c r="B93" s="546"/>
      <c r="C93" s="8"/>
      <c r="D93" s="8"/>
      <c r="E93" s="238"/>
      <c r="F93" s="239"/>
      <c r="G93" s="377"/>
      <c r="H93" s="239"/>
      <c r="I93" s="240"/>
      <c r="J9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94" spans="1:10" x14ac:dyDescent="0.35">
      <c r="A94" s="189"/>
      <c r="B94" s="541"/>
      <c r="C94" s="8"/>
      <c r="D94" s="8"/>
      <c r="E94" s="236"/>
      <c r="F94" s="226"/>
      <c r="G94" s="376"/>
      <c r="H94" s="226"/>
      <c r="I94" s="237"/>
      <c r="J9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95" spans="1:10" x14ac:dyDescent="0.35">
      <c r="A95" s="189"/>
      <c r="B95" s="546"/>
      <c r="C95" s="8"/>
      <c r="D95" s="8"/>
      <c r="E95" s="236"/>
      <c r="F95" s="226"/>
      <c r="G95" s="376"/>
      <c r="H95" s="226"/>
      <c r="I95" s="237"/>
      <c r="J9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96" spans="1:10" x14ac:dyDescent="0.35">
      <c r="A96" s="189"/>
      <c r="B96" s="542"/>
      <c r="C96" s="8"/>
      <c r="D96" s="8"/>
      <c r="E96" s="236"/>
      <c r="F96" s="226"/>
      <c r="G96" s="376"/>
      <c r="H96" s="226"/>
      <c r="I96" s="237"/>
      <c r="J9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97" spans="1:10" x14ac:dyDescent="0.35">
      <c r="A97" s="189"/>
      <c r="B97" s="546"/>
      <c r="C97" s="8"/>
      <c r="D97" s="8"/>
      <c r="E97" s="236"/>
      <c r="F97" s="226"/>
      <c r="G97" s="376"/>
      <c r="H97" s="226"/>
      <c r="I97" s="237"/>
      <c r="J9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98" spans="1:10" x14ac:dyDescent="0.35">
      <c r="A98" s="189"/>
      <c r="B98" s="542"/>
      <c r="C98" s="8"/>
      <c r="D98" s="8"/>
      <c r="E98" s="236"/>
      <c r="F98" s="226"/>
      <c r="G98" s="376"/>
      <c r="H98" s="226"/>
      <c r="I98" s="237"/>
      <c r="J9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99" spans="1:10" x14ac:dyDescent="0.35">
      <c r="A99" s="189"/>
      <c r="B99" s="546"/>
      <c r="C99" s="8"/>
      <c r="D99" s="8"/>
      <c r="E99" s="236"/>
      <c r="F99" s="226"/>
      <c r="G99" s="376"/>
      <c r="H99" s="226"/>
      <c r="I99" s="237"/>
      <c r="J9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00" spans="1:10" x14ac:dyDescent="0.35">
      <c r="A100" s="189"/>
      <c r="B100" s="542"/>
      <c r="C100" s="8"/>
      <c r="D100" s="8"/>
      <c r="E100" s="236"/>
      <c r="F100" s="226"/>
      <c r="G100" s="376"/>
      <c r="H100" s="226"/>
      <c r="I100" s="237"/>
      <c r="J10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01" spans="1:10" x14ac:dyDescent="0.35">
      <c r="A101" s="189"/>
      <c r="B101" s="546"/>
      <c r="C101" s="8"/>
      <c r="D101" s="8"/>
      <c r="E101" s="236"/>
      <c r="F101" s="226"/>
      <c r="G101" s="376"/>
      <c r="H101" s="226"/>
      <c r="I101" s="237"/>
      <c r="J10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02" spans="1:10" x14ac:dyDescent="0.35">
      <c r="A102" s="189"/>
      <c r="B102" s="542"/>
      <c r="C102" s="8"/>
      <c r="D102" s="8"/>
      <c r="E102" s="236"/>
      <c r="F102" s="226"/>
      <c r="G102" s="376"/>
      <c r="H102" s="226"/>
      <c r="I102" s="237"/>
      <c r="J10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03" spans="1:10" x14ac:dyDescent="0.35">
      <c r="A103" s="189"/>
      <c r="B103" s="546"/>
      <c r="C103" s="8"/>
      <c r="D103" s="8"/>
      <c r="E103" s="236"/>
      <c r="F103" s="226"/>
      <c r="G103" s="376"/>
      <c r="H103" s="226"/>
      <c r="I103" s="237"/>
      <c r="J10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04" spans="1:10" x14ac:dyDescent="0.35">
      <c r="A104" s="189"/>
      <c r="B104" s="542"/>
      <c r="C104" s="8"/>
      <c r="D104" s="8"/>
      <c r="E104" s="236"/>
      <c r="F104" s="226"/>
      <c r="G104" s="376"/>
      <c r="H104" s="226"/>
      <c r="I104" s="237"/>
      <c r="J10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05" spans="1:10" x14ac:dyDescent="0.35">
      <c r="A105" s="189"/>
      <c r="B105" s="546"/>
      <c r="C105" s="8"/>
      <c r="D105" s="8"/>
      <c r="E105" s="236"/>
      <c r="F105" s="226"/>
      <c r="G105" s="376"/>
      <c r="H105" s="226"/>
      <c r="I105" s="237"/>
      <c r="J10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06" spans="1:10" x14ac:dyDescent="0.35">
      <c r="A106" s="189"/>
      <c r="B106" s="542"/>
      <c r="C106" s="8"/>
      <c r="D106" s="8"/>
      <c r="E106" s="236"/>
      <c r="F106" s="226"/>
      <c r="G106" s="376"/>
      <c r="H106" s="226"/>
      <c r="I106" s="237"/>
      <c r="J10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07" spans="1:10" x14ac:dyDescent="0.35">
      <c r="A107" s="189"/>
      <c r="B107" s="546"/>
      <c r="C107" s="8"/>
      <c r="D107" s="8"/>
      <c r="E107" s="236"/>
      <c r="F107" s="226"/>
      <c r="G107" s="376"/>
      <c r="H107" s="226"/>
      <c r="I107" s="237"/>
      <c r="J10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08" spans="1:10" x14ac:dyDescent="0.35">
      <c r="A108" s="189"/>
      <c r="B108" s="542"/>
      <c r="C108" s="8"/>
      <c r="D108" s="8"/>
      <c r="E108" s="236"/>
      <c r="F108" s="226"/>
      <c r="G108" s="376"/>
      <c r="H108" s="226"/>
      <c r="I108" s="237"/>
      <c r="J10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09" spans="1:10" x14ac:dyDescent="0.35">
      <c r="A109" s="189"/>
      <c r="B109" s="546"/>
      <c r="C109" s="8"/>
      <c r="D109" s="8"/>
      <c r="E109" s="236"/>
      <c r="F109" s="226"/>
      <c r="G109" s="376"/>
      <c r="H109" s="226"/>
      <c r="I109" s="237"/>
      <c r="J10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10" spans="1:10" x14ac:dyDescent="0.35">
      <c r="A110" s="189"/>
      <c r="B110" s="542"/>
      <c r="C110" s="8"/>
      <c r="D110" s="8"/>
      <c r="E110" s="238"/>
      <c r="F110" s="239"/>
      <c r="G110" s="377"/>
      <c r="H110" s="239"/>
      <c r="I110" s="240"/>
      <c r="J11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11" spans="1:10" x14ac:dyDescent="0.35">
      <c r="A111" s="189"/>
      <c r="B111" s="547"/>
      <c r="C111" s="8"/>
      <c r="D111" s="8"/>
      <c r="E111" s="236"/>
      <c r="F111" s="226"/>
      <c r="G111" s="376"/>
      <c r="H111" s="226"/>
      <c r="I111" s="237"/>
      <c r="J11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12" spans="1:10" x14ac:dyDescent="0.35">
      <c r="A112" s="189"/>
      <c r="B112" s="542"/>
      <c r="C112" s="8"/>
      <c r="D112" s="8"/>
      <c r="E112" s="236"/>
      <c r="F112" s="226"/>
      <c r="G112" s="376"/>
      <c r="H112" s="226"/>
      <c r="I112" s="237"/>
      <c r="J11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13" spans="1:10" x14ac:dyDescent="0.35">
      <c r="A113" s="189"/>
      <c r="B113" s="546"/>
      <c r="C113" s="8"/>
      <c r="D113" s="8"/>
      <c r="E113" s="236"/>
      <c r="F113" s="226"/>
      <c r="G113" s="376"/>
      <c r="H113" s="226"/>
      <c r="I113" s="237"/>
      <c r="J11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14" spans="1:10" x14ac:dyDescent="0.35">
      <c r="A114" s="189"/>
      <c r="B114" s="542"/>
      <c r="C114" s="8"/>
      <c r="D114" s="8"/>
      <c r="E114" s="236"/>
      <c r="F114" s="226"/>
      <c r="G114" s="376"/>
      <c r="H114" s="226"/>
      <c r="I114" s="237"/>
      <c r="J11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15" spans="1:10" x14ac:dyDescent="0.35">
      <c r="A115" s="189"/>
      <c r="B115" s="546"/>
      <c r="C115" s="8"/>
      <c r="D115" s="8"/>
      <c r="E115" s="236"/>
      <c r="F115" s="226"/>
      <c r="G115" s="376"/>
      <c r="H115" s="226"/>
      <c r="I115" s="237"/>
      <c r="J11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16" spans="1:10" x14ac:dyDescent="0.35">
      <c r="A116" s="189"/>
      <c r="B116" s="542"/>
      <c r="C116" s="8"/>
      <c r="D116" s="8"/>
      <c r="E116" s="236"/>
      <c r="F116" s="226"/>
      <c r="G116" s="376"/>
      <c r="H116" s="226"/>
      <c r="I116" s="237"/>
      <c r="J11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17" spans="1:10" x14ac:dyDescent="0.35">
      <c r="A117" s="189"/>
      <c r="B117" s="546"/>
      <c r="C117" s="8"/>
      <c r="D117" s="8"/>
      <c r="E117" s="236"/>
      <c r="F117" s="226"/>
      <c r="G117" s="376"/>
      <c r="H117" s="226"/>
      <c r="I117" s="237"/>
      <c r="J11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18" spans="1:10" x14ac:dyDescent="0.35">
      <c r="A118" s="189"/>
      <c r="B118" s="542"/>
      <c r="C118" s="8"/>
      <c r="D118" s="8"/>
      <c r="E118" s="236"/>
      <c r="F118" s="226"/>
      <c r="G118" s="376"/>
      <c r="H118" s="226"/>
      <c r="I118" s="237"/>
      <c r="J11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19" spans="1:10" x14ac:dyDescent="0.35">
      <c r="A119" s="189"/>
      <c r="B119" s="546"/>
      <c r="C119" s="8"/>
      <c r="D119" s="8"/>
      <c r="E119" s="236"/>
      <c r="F119" s="226"/>
      <c r="G119" s="376"/>
      <c r="H119" s="226"/>
      <c r="I119" s="237"/>
      <c r="J11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20" spans="1:10" x14ac:dyDescent="0.35">
      <c r="A120" s="189"/>
      <c r="B120" s="542"/>
      <c r="C120" s="8"/>
      <c r="D120" s="8"/>
      <c r="E120" s="236"/>
      <c r="F120" s="226"/>
      <c r="G120" s="376"/>
      <c r="H120" s="226"/>
      <c r="I120" s="237"/>
      <c r="J12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21" spans="1:10" x14ac:dyDescent="0.35">
      <c r="A121" s="189"/>
      <c r="B121" s="546"/>
      <c r="C121" s="8"/>
      <c r="D121" s="8"/>
      <c r="E121" s="236"/>
      <c r="F121" s="226"/>
      <c r="G121" s="376"/>
      <c r="H121" s="226"/>
      <c r="I121" s="237"/>
      <c r="J12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22" spans="1:10" x14ac:dyDescent="0.35">
      <c r="A122" s="189"/>
      <c r="B122" s="542"/>
      <c r="C122" s="8"/>
      <c r="D122" s="8"/>
      <c r="E122" s="236"/>
      <c r="F122" s="226"/>
      <c r="G122" s="376"/>
      <c r="H122" s="226"/>
      <c r="I122" s="237"/>
      <c r="J12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23" spans="1:10" x14ac:dyDescent="0.35">
      <c r="A123" s="189"/>
      <c r="B123" s="546"/>
      <c r="C123" s="8"/>
      <c r="D123" s="8"/>
      <c r="E123" s="236"/>
      <c r="F123" s="226"/>
      <c r="G123" s="376"/>
      <c r="H123" s="226"/>
      <c r="I123" s="237"/>
      <c r="J12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24" spans="1:10" x14ac:dyDescent="0.35">
      <c r="A124" s="189"/>
      <c r="B124" s="542"/>
      <c r="C124" s="8"/>
      <c r="D124" s="8"/>
      <c r="E124" s="236"/>
      <c r="F124" s="226"/>
      <c r="G124" s="376"/>
      <c r="H124" s="226"/>
      <c r="I124" s="237"/>
      <c r="J12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25" spans="1:10" x14ac:dyDescent="0.35">
      <c r="A125" s="189"/>
      <c r="B125" s="546"/>
      <c r="C125" s="8"/>
      <c r="D125" s="8"/>
      <c r="E125" s="236"/>
      <c r="F125" s="226"/>
      <c r="G125" s="376"/>
      <c r="H125" s="226"/>
      <c r="I125" s="237"/>
      <c r="J12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26" spans="1:10" x14ac:dyDescent="0.35">
      <c r="A126" s="189"/>
      <c r="B126" s="542"/>
      <c r="C126" s="8"/>
      <c r="D126" s="8"/>
      <c r="E126" s="236"/>
      <c r="F126" s="226"/>
      <c r="G126" s="376"/>
      <c r="H126" s="226"/>
      <c r="I126" s="237"/>
      <c r="J12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27" spans="1:10" x14ac:dyDescent="0.35">
      <c r="A127" s="189"/>
      <c r="B127" s="546"/>
      <c r="C127" s="8"/>
      <c r="D127" s="8"/>
      <c r="E127" s="238"/>
      <c r="F127" s="239"/>
      <c r="G127" s="377"/>
      <c r="H127" s="239"/>
      <c r="I127" s="240"/>
      <c r="J12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28" spans="1:10" x14ac:dyDescent="0.35">
      <c r="A128" s="189"/>
      <c r="B128" s="541"/>
      <c r="C128" s="8"/>
      <c r="D128" s="8"/>
      <c r="E128" s="236"/>
      <c r="F128" s="226"/>
      <c r="G128" s="376"/>
      <c r="H128" s="226"/>
      <c r="I128" s="237"/>
      <c r="J12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29" spans="1:10" x14ac:dyDescent="0.35">
      <c r="A129" s="189"/>
      <c r="B129" s="542"/>
      <c r="C129" s="8"/>
      <c r="D129" s="8"/>
      <c r="E129" s="236"/>
      <c r="F129" s="226"/>
      <c r="G129" s="376"/>
      <c r="H129" s="226"/>
      <c r="I129" s="237"/>
      <c r="J12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30" spans="1:10" x14ac:dyDescent="0.35">
      <c r="A130" s="189"/>
      <c r="B130" s="542"/>
      <c r="C130" s="8"/>
      <c r="D130" s="8"/>
      <c r="E130" s="236"/>
      <c r="F130" s="226"/>
      <c r="G130" s="376"/>
      <c r="H130" s="226"/>
      <c r="I130" s="237"/>
      <c r="J13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31" spans="1:10" x14ac:dyDescent="0.35">
      <c r="A131" s="189"/>
      <c r="B131" s="542"/>
      <c r="C131" s="8"/>
      <c r="D131" s="8"/>
      <c r="E131" s="236"/>
      <c r="F131" s="226"/>
      <c r="G131" s="376"/>
      <c r="H131" s="226"/>
      <c r="I131" s="237"/>
      <c r="J13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32" spans="1:10" x14ac:dyDescent="0.35">
      <c r="A132" s="189"/>
      <c r="B132" s="542"/>
      <c r="C132" s="8"/>
      <c r="D132" s="8"/>
      <c r="E132" s="236"/>
      <c r="F132" s="226"/>
      <c r="G132" s="376"/>
      <c r="H132" s="226"/>
      <c r="I132" s="237"/>
      <c r="J13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33" spans="1:10" x14ac:dyDescent="0.35">
      <c r="A133" s="189"/>
      <c r="B133" s="542"/>
      <c r="C133" s="8"/>
      <c r="D133" s="8"/>
      <c r="E133" s="236"/>
      <c r="F133" s="226"/>
      <c r="G133" s="376"/>
      <c r="H133" s="226"/>
      <c r="I133" s="237"/>
      <c r="J13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34" spans="1:10" x14ac:dyDescent="0.35">
      <c r="A134" s="189"/>
      <c r="B134" s="542"/>
      <c r="C134" s="8"/>
      <c r="D134" s="8"/>
      <c r="E134" s="236"/>
      <c r="F134" s="226"/>
      <c r="G134" s="376"/>
      <c r="H134" s="226"/>
      <c r="I134" s="237"/>
      <c r="J13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35" spans="1:10" x14ac:dyDescent="0.35">
      <c r="A135" s="189"/>
      <c r="B135" s="542"/>
      <c r="C135" s="8"/>
      <c r="D135" s="8"/>
      <c r="E135" s="236"/>
      <c r="F135" s="226"/>
      <c r="G135" s="376"/>
      <c r="H135" s="226"/>
      <c r="I135" s="237"/>
      <c r="J13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36" spans="1:10" x14ac:dyDescent="0.35">
      <c r="A136" s="189"/>
      <c r="B136" s="542"/>
      <c r="C136" s="8"/>
      <c r="D136" s="8"/>
      <c r="E136" s="236"/>
      <c r="F136" s="226"/>
      <c r="G136" s="376"/>
      <c r="H136" s="226"/>
      <c r="I136" s="237"/>
      <c r="J13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37" spans="1:10" x14ac:dyDescent="0.35">
      <c r="A137" s="189"/>
      <c r="B137" s="542"/>
      <c r="C137" s="8"/>
      <c r="D137" s="8"/>
      <c r="E137" s="236"/>
      <c r="F137" s="226"/>
      <c r="G137" s="376"/>
      <c r="H137" s="226"/>
      <c r="I137" s="237"/>
      <c r="J13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38" spans="1:10" x14ac:dyDescent="0.35">
      <c r="A138" s="189"/>
      <c r="B138" s="542"/>
      <c r="C138" s="8"/>
      <c r="D138" s="8"/>
      <c r="E138" s="238"/>
      <c r="F138" s="239"/>
      <c r="G138" s="377"/>
      <c r="H138" s="239"/>
      <c r="I138" s="240"/>
      <c r="J13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39" spans="1:10" x14ac:dyDescent="0.35">
      <c r="A139" s="189"/>
      <c r="B139" s="541"/>
      <c r="C139" s="8"/>
      <c r="D139" s="8"/>
      <c r="E139" s="236"/>
      <c r="F139" s="226"/>
      <c r="G139" s="376"/>
      <c r="H139" s="226"/>
      <c r="I139" s="237"/>
      <c r="J13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40" spans="1:10" x14ac:dyDescent="0.35">
      <c r="A140" s="189"/>
      <c r="B140" s="542"/>
      <c r="C140" s="8"/>
      <c r="D140" s="8"/>
      <c r="E140" s="236"/>
      <c r="F140" s="226"/>
      <c r="G140" s="376"/>
      <c r="H140" s="226"/>
      <c r="I140" s="237"/>
      <c r="J14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41" spans="1:10" x14ac:dyDescent="0.35">
      <c r="A141" s="189"/>
      <c r="B141" s="542"/>
      <c r="C141" s="8"/>
      <c r="D141" s="8"/>
      <c r="E141" s="236"/>
      <c r="F141" s="226"/>
      <c r="G141" s="376"/>
      <c r="H141" s="226"/>
      <c r="I141" s="237"/>
      <c r="J14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42" spans="1:10" x14ac:dyDescent="0.35">
      <c r="A142" s="189"/>
      <c r="B142" s="542"/>
      <c r="C142" s="8"/>
      <c r="D142" s="8"/>
      <c r="E142" s="236"/>
      <c r="F142" s="226"/>
      <c r="G142" s="376"/>
      <c r="H142" s="226"/>
      <c r="I142" s="237"/>
      <c r="J14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43" spans="1:10" x14ac:dyDescent="0.35">
      <c r="A143" s="189"/>
      <c r="B143" s="542"/>
      <c r="C143" s="8"/>
      <c r="D143" s="8"/>
      <c r="E143" s="236"/>
      <c r="F143" s="226"/>
      <c r="G143" s="376"/>
      <c r="H143" s="226"/>
      <c r="I143" s="237"/>
      <c r="J14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44" spans="1:10" x14ac:dyDescent="0.35">
      <c r="A144" s="189"/>
      <c r="B144" s="542"/>
      <c r="C144" s="8"/>
      <c r="D144" s="8"/>
      <c r="E144" s="236"/>
      <c r="F144" s="226"/>
      <c r="G144" s="376"/>
      <c r="H144" s="226"/>
      <c r="I144" s="237"/>
      <c r="J14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45" spans="1:10" x14ac:dyDescent="0.35">
      <c r="A145" s="189"/>
      <c r="B145" s="542"/>
      <c r="C145" s="8"/>
      <c r="D145" s="8"/>
      <c r="E145" s="236"/>
      <c r="F145" s="226"/>
      <c r="G145" s="376"/>
      <c r="H145" s="226"/>
      <c r="I145" s="237"/>
      <c r="J14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46" spans="1:10" x14ac:dyDescent="0.35">
      <c r="A146" s="189"/>
      <c r="B146" s="542"/>
      <c r="C146" s="8"/>
      <c r="D146" s="8"/>
      <c r="E146" s="236"/>
      <c r="F146" s="226"/>
      <c r="G146" s="376"/>
      <c r="H146" s="226"/>
      <c r="I146" s="237"/>
      <c r="J14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47" spans="1:10" x14ac:dyDescent="0.35">
      <c r="A147" s="189"/>
      <c r="B147" s="542"/>
      <c r="C147" s="8"/>
      <c r="D147" s="8"/>
      <c r="E147" s="236"/>
      <c r="F147" s="226"/>
      <c r="G147" s="376"/>
      <c r="H147" s="226"/>
      <c r="I147" s="237"/>
      <c r="J14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48" spans="1:10" x14ac:dyDescent="0.35">
      <c r="A148" s="189"/>
      <c r="B148" s="542"/>
      <c r="C148" s="8"/>
      <c r="D148" s="8"/>
      <c r="E148" s="236"/>
      <c r="F148" s="226"/>
      <c r="G148" s="376"/>
      <c r="H148" s="226"/>
      <c r="I148" s="237"/>
      <c r="J14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49" spans="1:10" x14ac:dyDescent="0.35">
      <c r="A149" s="189"/>
      <c r="B149" s="542"/>
      <c r="C149" s="8"/>
      <c r="D149" s="8"/>
      <c r="E149" s="236"/>
      <c r="F149" s="226"/>
      <c r="G149" s="376"/>
      <c r="H149" s="226"/>
      <c r="I149" s="237"/>
      <c r="J14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50" spans="1:10" x14ac:dyDescent="0.35">
      <c r="A150" s="189"/>
      <c r="B150" s="542"/>
      <c r="C150" s="8"/>
      <c r="D150" s="8"/>
      <c r="E150" s="236"/>
      <c r="F150" s="226"/>
      <c r="G150" s="376"/>
      <c r="H150" s="226"/>
      <c r="I150" s="237"/>
      <c r="J15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51" spans="1:10" x14ac:dyDescent="0.35">
      <c r="A151" s="189"/>
      <c r="B151" s="542"/>
      <c r="C151" s="8"/>
      <c r="D151" s="8"/>
      <c r="E151" s="236"/>
      <c r="F151" s="226"/>
      <c r="G151" s="376"/>
      <c r="H151" s="226"/>
      <c r="I151" s="237"/>
      <c r="J15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52" spans="1:10" x14ac:dyDescent="0.35">
      <c r="A152" s="189"/>
      <c r="B152" s="542"/>
      <c r="C152" s="8"/>
      <c r="D152" s="8"/>
      <c r="E152" s="236"/>
      <c r="F152" s="226"/>
      <c r="G152" s="376"/>
      <c r="H152" s="226"/>
      <c r="I152" s="237"/>
      <c r="J15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53" spans="1:10" x14ac:dyDescent="0.35">
      <c r="A153" s="189"/>
      <c r="B153" s="542"/>
      <c r="C153" s="8"/>
      <c r="D153" s="8"/>
      <c r="E153" s="236"/>
      <c r="F153" s="226"/>
      <c r="G153" s="376"/>
      <c r="H153" s="226"/>
      <c r="I153" s="237"/>
      <c r="J15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54" spans="1:10" x14ac:dyDescent="0.35">
      <c r="A154" s="189"/>
      <c r="B154" s="542"/>
      <c r="C154" s="8"/>
      <c r="D154" s="8"/>
      <c r="E154" s="238"/>
      <c r="F154" s="239"/>
      <c r="G154" s="377"/>
      <c r="H154" s="239"/>
      <c r="I154" s="240"/>
      <c r="J15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55" spans="1:10" x14ac:dyDescent="0.35">
      <c r="A155" s="189"/>
      <c r="B155" s="541"/>
      <c r="C155" s="8"/>
      <c r="D155" s="8"/>
      <c r="E155" s="236"/>
      <c r="F155" s="226"/>
      <c r="G155" s="376"/>
      <c r="H155" s="226"/>
      <c r="I155" s="237"/>
      <c r="J15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56" spans="1:10" x14ac:dyDescent="0.35">
      <c r="A156" s="189"/>
      <c r="B156" s="542"/>
      <c r="C156" s="8"/>
      <c r="D156" s="8"/>
      <c r="E156" s="236"/>
      <c r="F156" s="226"/>
      <c r="G156" s="376"/>
      <c r="H156" s="226"/>
      <c r="I156" s="237"/>
      <c r="J15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57" spans="1:10" x14ac:dyDescent="0.35">
      <c r="A157" s="189"/>
      <c r="B157" s="542"/>
      <c r="C157" s="8"/>
      <c r="D157" s="8"/>
      <c r="E157" s="236"/>
      <c r="F157" s="226"/>
      <c r="G157" s="376"/>
      <c r="H157" s="226"/>
      <c r="I157" s="237"/>
      <c r="J15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58" spans="1:10" x14ac:dyDescent="0.35">
      <c r="A158" s="189"/>
      <c r="B158" s="542"/>
      <c r="C158" s="8"/>
      <c r="D158" s="8"/>
      <c r="E158" s="236"/>
      <c r="F158" s="226"/>
      <c r="G158" s="376"/>
      <c r="H158" s="226"/>
      <c r="I158" s="237"/>
      <c r="J15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59" spans="1:10" x14ac:dyDescent="0.35">
      <c r="A159" s="189"/>
      <c r="B159" s="542"/>
      <c r="C159" s="8"/>
      <c r="D159" s="8"/>
      <c r="E159" s="236"/>
      <c r="F159" s="226"/>
      <c r="G159" s="376"/>
      <c r="H159" s="226"/>
      <c r="I159" s="237"/>
      <c r="J15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60" spans="1:10" x14ac:dyDescent="0.35">
      <c r="A160" s="189"/>
      <c r="B160" s="542"/>
      <c r="C160" s="8"/>
      <c r="D160" s="8"/>
      <c r="E160" s="236"/>
      <c r="F160" s="226"/>
      <c r="G160" s="376"/>
      <c r="H160" s="226"/>
      <c r="I160" s="237"/>
      <c r="J16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61" spans="1:10" x14ac:dyDescent="0.35">
      <c r="A161" s="189"/>
      <c r="B161" s="542"/>
      <c r="C161" s="8"/>
      <c r="D161" s="8"/>
      <c r="E161" s="236"/>
      <c r="F161" s="226"/>
      <c r="G161" s="376"/>
      <c r="H161" s="226"/>
      <c r="I161" s="237"/>
      <c r="J16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62" spans="1:10" x14ac:dyDescent="0.35">
      <c r="A162" s="525"/>
      <c r="B162" s="543"/>
      <c r="C162" s="526"/>
      <c r="D162" s="526"/>
      <c r="E162" s="527"/>
      <c r="F162" s="528"/>
      <c r="G162" s="529"/>
      <c r="H162" s="528"/>
      <c r="I162" s="530"/>
      <c r="J16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63" spans="1:10" x14ac:dyDescent="0.35">
      <c r="A163" s="525"/>
      <c r="B163" s="543"/>
      <c r="C163" s="526"/>
      <c r="D163" s="526"/>
      <c r="E163" s="527"/>
      <c r="F163" s="528"/>
      <c r="G163" s="529"/>
      <c r="H163" s="528"/>
      <c r="I163" s="530"/>
      <c r="J16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64" spans="1:10" x14ac:dyDescent="0.35">
      <c r="A164" s="525"/>
      <c r="B164" s="543"/>
      <c r="C164" s="526"/>
      <c r="D164" s="526"/>
      <c r="E164" s="527"/>
      <c r="F164" s="528"/>
      <c r="G164" s="529"/>
      <c r="H164" s="528"/>
      <c r="I164" s="530"/>
      <c r="J16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65" spans="1:10" x14ac:dyDescent="0.35">
      <c r="A165" s="525"/>
      <c r="B165" s="543"/>
      <c r="C165" s="526"/>
      <c r="D165" s="526"/>
      <c r="E165" s="531"/>
      <c r="F165" s="532"/>
      <c r="G165" s="533"/>
      <c r="H165" s="532"/>
      <c r="I165" s="534"/>
      <c r="J16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66" spans="1:10" x14ac:dyDescent="0.35">
      <c r="A166" s="525"/>
      <c r="B166" s="543"/>
      <c r="C166" s="526"/>
      <c r="D166" s="526"/>
      <c r="E166" s="527"/>
      <c r="F166" s="528"/>
      <c r="G166" s="529"/>
      <c r="H166" s="528"/>
      <c r="I166" s="530"/>
      <c r="J16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67" spans="1:10" x14ac:dyDescent="0.35">
      <c r="A167" s="525"/>
      <c r="B167" s="543"/>
      <c r="C167" s="526"/>
      <c r="D167" s="526"/>
      <c r="E167" s="527"/>
      <c r="F167" s="528"/>
      <c r="G167" s="529"/>
      <c r="H167" s="528"/>
      <c r="I167" s="530"/>
      <c r="J16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68" spans="1:10" x14ac:dyDescent="0.35">
      <c r="A168" s="525"/>
      <c r="B168" s="543"/>
      <c r="C168" s="526"/>
      <c r="D168" s="526"/>
      <c r="E168" s="527"/>
      <c r="F168" s="528"/>
      <c r="G168" s="529"/>
      <c r="H168" s="528"/>
      <c r="I168" s="530"/>
      <c r="J16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69" spans="1:10" x14ac:dyDescent="0.35">
      <c r="A169" s="525"/>
      <c r="B169" s="543"/>
      <c r="C169" s="526"/>
      <c r="D169" s="526"/>
      <c r="E169" s="527"/>
      <c r="F169" s="528"/>
      <c r="G169" s="529"/>
      <c r="H169" s="528"/>
      <c r="I169" s="530"/>
      <c r="J16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70" spans="1:10" x14ac:dyDescent="0.35">
      <c r="A170" s="525"/>
      <c r="B170" s="543"/>
      <c r="C170" s="526"/>
      <c r="D170" s="526"/>
      <c r="E170" s="527"/>
      <c r="F170" s="528"/>
      <c r="G170" s="529"/>
      <c r="H170" s="528"/>
      <c r="I170" s="530"/>
      <c r="J17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71" spans="1:10" x14ac:dyDescent="0.35">
      <c r="A171" s="525"/>
      <c r="B171" s="543"/>
      <c r="C171" s="526"/>
      <c r="D171" s="526"/>
      <c r="E171" s="527"/>
      <c r="F171" s="528"/>
      <c r="G171" s="529"/>
      <c r="H171" s="528"/>
      <c r="I171" s="530"/>
      <c r="J17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72" spans="1:10" x14ac:dyDescent="0.35">
      <c r="A172" s="525"/>
      <c r="B172" s="543"/>
      <c r="C172" s="526"/>
      <c r="D172" s="526"/>
      <c r="E172" s="527"/>
      <c r="F172" s="528"/>
      <c r="G172" s="529"/>
      <c r="H172" s="528"/>
      <c r="I172" s="530"/>
      <c r="J17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73" spans="1:10" x14ac:dyDescent="0.35">
      <c r="A173" s="525"/>
      <c r="B173" s="543"/>
      <c r="C173" s="526"/>
      <c r="D173" s="526"/>
      <c r="E173" s="527"/>
      <c r="F173" s="528"/>
      <c r="G173" s="529"/>
      <c r="H173" s="528"/>
      <c r="I173" s="530"/>
      <c r="J17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74" spans="1:10" x14ac:dyDescent="0.35">
      <c r="A174" s="525"/>
      <c r="B174" s="543"/>
      <c r="C174" s="526"/>
      <c r="D174" s="526"/>
      <c r="E174" s="527"/>
      <c r="F174" s="528"/>
      <c r="G174" s="529"/>
      <c r="H174" s="528"/>
      <c r="I174" s="530"/>
      <c r="J17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75" spans="1:10" x14ac:dyDescent="0.35">
      <c r="A175" s="525"/>
      <c r="B175" s="543"/>
      <c r="C175" s="526"/>
      <c r="D175" s="526"/>
      <c r="E175" s="527"/>
      <c r="F175" s="528"/>
      <c r="G175" s="529"/>
      <c r="H175" s="528"/>
      <c r="I175" s="530"/>
      <c r="J17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76" spans="1:10" x14ac:dyDescent="0.35">
      <c r="A176" s="525"/>
      <c r="B176" s="543"/>
      <c r="C176" s="526"/>
      <c r="D176" s="526"/>
      <c r="E176" s="527"/>
      <c r="F176" s="528"/>
      <c r="G176" s="529"/>
      <c r="H176" s="528"/>
      <c r="I176" s="530"/>
      <c r="J17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77" spans="1:10" x14ac:dyDescent="0.35">
      <c r="A177" s="525"/>
      <c r="B177" s="543"/>
      <c r="C177" s="526"/>
      <c r="D177" s="526"/>
      <c r="E177" s="527"/>
      <c r="F177" s="528"/>
      <c r="G177" s="529"/>
      <c r="H177" s="528"/>
      <c r="I177" s="530"/>
      <c r="J17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78" spans="1:10" x14ac:dyDescent="0.35">
      <c r="A178" s="525"/>
      <c r="B178" s="543"/>
      <c r="C178" s="526"/>
      <c r="D178" s="526"/>
      <c r="E178" s="527"/>
      <c r="F178" s="528"/>
      <c r="G178" s="529"/>
      <c r="H178" s="528"/>
      <c r="I178" s="530"/>
      <c r="J17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79" spans="1:10" x14ac:dyDescent="0.35">
      <c r="A179" s="525"/>
      <c r="B179" s="543"/>
      <c r="C179" s="526"/>
      <c r="D179" s="526"/>
      <c r="E179" s="527"/>
      <c r="F179" s="528"/>
      <c r="G179" s="529"/>
      <c r="H179" s="528"/>
      <c r="I179" s="530"/>
      <c r="J17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80" spans="1:10" x14ac:dyDescent="0.35">
      <c r="A180" s="525"/>
      <c r="B180" s="543"/>
      <c r="C180" s="526"/>
      <c r="D180" s="526"/>
      <c r="E180" s="527"/>
      <c r="F180" s="528"/>
      <c r="G180" s="529"/>
      <c r="H180" s="528"/>
      <c r="I180" s="530"/>
      <c r="J18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81" spans="1:10" x14ac:dyDescent="0.35">
      <c r="A181" s="525"/>
      <c r="B181" s="543"/>
      <c r="C181" s="526"/>
      <c r="D181" s="526"/>
      <c r="E181" s="527"/>
      <c r="F181" s="528"/>
      <c r="G181" s="529"/>
      <c r="H181" s="528"/>
      <c r="I181" s="530"/>
      <c r="J18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82" spans="1:10" x14ac:dyDescent="0.35">
      <c r="A182" s="525"/>
      <c r="B182" s="543"/>
      <c r="C182" s="526"/>
      <c r="D182" s="526"/>
      <c r="E182" s="531"/>
      <c r="F182" s="532"/>
      <c r="G182" s="533"/>
      <c r="H182" s="532"/>
      <c r="I182" s="534"/>
      <c r="J18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83" spans="1:10" x14ac:dyDescent="0.35">
      <c r="A183" s="525"/>
      <c r="B183" s="543"/>
      <c r="C183" s="526"/>
      <c r="D183" s="526"/>
      <c r="E183" s="527"/>
      <c r="F183" s="528"/>
      <c r="G183" s="529"/>
      <c r="H183" s="528"/>
      <c r="I183" s="530"/>
      <c r="J18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84" spans="1:10" x14ac:dyDescent="0.35">
      <c r="A184" s="525"/>
      <c r="B184" s="543"/>
      <c r="C184" s="526"/>
      <c r="D184" s="526"/>
      <c r="E184" s="527"/>
      <c r="F184" s="528"/>
      <c r="G184" s="529"/>
      <c r="H184" s="528"/>
      <c r="I184" s="530"/>
      <c r="J18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85" spans="1:10" x14ac:dyDescent="0.35">
      <c r="A185" s="525"/>
      <c r="B185" s="543"/>
      <c r="C185" s="526"/>
      <c r="D185" s="526"/>
      <c r="E185" s="527"/>
      <c r="F185" s="528"/>
      <c r="G185" s="529"/>
      <c r="H185" s="528"/>
      <c r="I185" s="530"/>
      <c r="J18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86" spans="1:10" x14ac:dyDescent="0.35">
      <c r="A186" s="525"/>
      <c r="B186" s="543"/>
      <c r="C186" s="526"/>
      <c r="D186" s="526"/>
      <c r="E186" s="527"/>
      <c r="F186" s="528"/>
      <c r="G186" s="529"/>
      <c r="H186" s="528"/>
      <c r="I186" s="530"/>
      <c r="J18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87" spans="1:10" x14ac:dyDescent="0.35">
      <c r="A187" s="525"/>
      <c r="B187" s="543"/>
      <c r="C187" s="526"/>
      <c r="D187" s="526"/>
      <c r="E187" s="527"/>
      <c r="F187" s="528"/>
      <c r="G187" s="529"/>
      <c r="H187" s="528"/>
      <c r="I187" s="530"/>
      <c r="J18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88" spans="1:10" x14ac:dyDescent="0.35">
      <c r="A188" s="525"/>
      <c r="B188" s="543"/>
      <c r="C188" s="526"/>
      <c r="D188" s="526"/>
      <c r="E188" s="527"/>
      <c r="F188" s="528"/>
      <c r="G188" s="529"/>
      <c r="H188" s="528"/>
      <c r="I188" s="530"/>
      <c r="J18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89" spans="1:10" x14ac:dyDescent="0.35">
      <c r="A189" s="525"/>
      <c r="B189" s="543"/>
      <c r="C189" s="526"/>
      <c r="D189" s="526"/>
      <c r="E189" s="527"/>
      <c r="F189" s="528"/>
      <c r="G189" s="529"/>
      <c r="H189" s="528"/>
      <c r="I189" s="530"/>
      <c r="J18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90" spans="1:10" x14ac:dyDescent="0.35">
      <c r="A190" s="189"/>
      <c r="B190" s="544"/>
      <c r="C190" s="8"/>
      <c r="D190" s="8"/>
      <c r="E190" s="236"/>
      <c r="F190" s="226"/>
      <c r="G190" s="376"/>
      <c r="H190" s="226"/>
      <c r="I190" s="237"/>
      <c r="J19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91" spans="1:10" x14ac:dyDescent="0.35">
      <c r="A191" s="189"/>
      <c r="B191" s="544"/>
      <c r="C191" s="8"/>
      <c r="D191" s="8"/>
      <c r="E191" s="236"/>
      <c r="F191" s="226"/>
      <c r="G191" s="376"/>
      <c r="H191" s="226"/>
      <c r="I191" s="237"/>
      <c r="J19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92" spans="1:10" x14ac:dyDescent="0.35">
      <c r="A192" s="189"/>
      <c r="B192" s="544"/>
      <c r="C192" s="8"/>
      <c r="D192" s="8"/>
      <c r="E192" s="236"/>
      <c r="F192" s="226"/>
      <c r="G192" s="376"/>
      <c r="H192" s="226"/>
      <c r="I192" s="237"/>
      <c r="J19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93" spans="1:10" x14ac:dyDescent="0.35">
      <c r="A193" s="189"/>
      <c r="B193" s="544"/>
      <c r="C193" s="8"/>
      <c r="D193" s="8"/>
      <c r="E193" s="236"/>
      <c r="F193" s="226"/>
      <c r="G193" s="376"/>
      <c r="H193" s="226"/>
      <c r="I193" s="237"/>
      <c r="J19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94" spans="1:10" x14ac:dyDescent="0.35">
      <c r="A194" s="189"/>
      <c r="B194" s="544"/>
      <c r="C194" s="8"/>
      <c r="D194" s="8"/>
      <c r="E194" s="236"/>
      <c r="F194" s="226"/>
      <c r="G194" s="376"/>
      <c r="H194" s="226"/>
      <c r="I194" s="237"/>
      <c r="J19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95" spans="1:10" x14ac:dyDescent="0.35">
      <c r="A195" s="189"/>
      <c r="B195" s="544"/>
      <c r="C195" s="8"/>
      <c r="D195" s="8"/>
      <c r="E195" s="236"/>
      <c r="F195" s="226"/>
      <c r="G195" s="376"/>
      <c r="H195" s="226"/>
      <c r="I195" s="237"/>
      <c r="J19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96" spans="1:10" x14ac:dyDescent="0.35">
      <c r="A196" s="189"/>
      <c r="B196" s="544"/>
      <c r="C196" s="8"/>
      <c r="D196" s="8"/>
      <c r="E196" s="236"/>
      <c r="F196" s="226"/>
      <c r="G196" s="376"/>
      <c r="H196" s="226"/>
      <c r="I196" s="237"/>
      <c r="J19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97" spans="1:10" x14ac:dyDescent="0.35">
      <c r="A197" s="189"/>
      <c r="B197" s="544"/>
      <c r="C197" s="8"/>
      <c r="D197" s="8"/>
      <c r="E197" s="236"/>
      <c r="F197" s="226"/>
      <c r="G197" s="376"/>
      <c r="H197" s="226"/>
      <c r="I197" s="237"/>
      <c r="J19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98" spans="1:10" x14ac:dyDescent="0.35">
      <c r="A198" s="189"/>
      <c r="B198" s="544"/>
      <c r="C198" s="8"/>
      <c r="D198" s="8"/>
      <c r="E198" s="236"/>
      <c r="F198" s="226"/>
      <c r="G198" s="376"/>
      <c r="H198" s="226"/>
      <c r="I198" s="237"/>
      <c r="J19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199" spans="1:10" x14ac:dyDescent="0.35">
      <c r="A199" s="189"/>
      <c r="B199" s="544"/>
      <c r="C199" s="8"/>
      <c r="D199" s="8"/>
      <c r="E199" s="236"/>
      <c r="F199" s="226"/>
      <c r="G199" s="376"/>
      <c r="H199" s="226"/>
      <c r="I199" s="237"/>
      <c r="J19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00" spans="1:10" x14ac:dyDescent="0.35">
      <c r="A200" s="189"/>
      <c r="B200" s="544"/>
      <c r="C200" s="8"/>
      <c r="D200" s="8"/>
      <c r="E200" s="236"/>
      <c r="F200" s="226"/>
      <c r="G200" s="376"/>
      <c r="H200" s="226"/>
      <c r="I200" s="237"/>
      <c r="J20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01" spans="1:10" x14ac:dyDescent="0.35">
      <c r="A201" s="189"/>
      <c r="B201" s="544"/>
      <c r="C201" s="8"/>
      <c r="D201" s="8"/>
      <c r="E201" s="236"/>
      <c r="F201" s="226"/>
      <c r="G201" s="376"/>
      <c r="H201" s="226"/>
      <c r="I201" s="237"/>
      <c r="J20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02" spans="1:10" x14ac:dyDescent="0.35">
      <c r="A202" s="189"/>
      <c r="B202" s="544"/>
      <c r="C202" s="8"/>
      <c r="D202" s="8"/>
      <c r="E202" s="238"/>
      <c r="F202" s="239"/>
      <c r="G202" s="377"/>
      <c r="H202" s="239"/>
      <c r="I202" s="240"/>
      <c r="J20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03" spans="1:10" x14ac:dyDescent="0.35">
      <c r="A203" s="189"/>
      <c r="B203" s="544"/>
      <c r="C203" s="8"/>
      <c r="D203" s="8"/>
      <c r="E203" s="236"/>
      <c r="F203" s="226"/>
      <c r="G203" s="376"/>
      <c r="H203" s="226"/>
      <c r="I203" s="237"/>
      <c r="J20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04" spans="1:10" x14ac:dyDescent="0.35">
      <c r="A204" s="189"/>
      <c r="B204" s="544"/>
      <c r="C204" s="8"/>
      <c r="D204" s="8"/>
      <c r="E204" s="236"/>
      <c r="F204" s="226"/>
      <c r="G204" s="376"/>
      <c r="H204" s="226"/>
      <c r="I204" s="237"/>
      <c r="J20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05" spans="1:10" x14ac:dyDescent="0.35">
      <c r="A205" s="189"/>
      <c r="B205" s="544"/>
      <c r="C205" s="8"/>
      <c r="D205" s="8"/>
      <c r="E205" s="236"/>
      <c r="F205" s="226"/>
      <c r="G205" s="376"/>
      <c r="H205" s="226"/>
      <c r="I205" s="237"/>
      <c r="J20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06" spans="1:10" x14ac:dyDescent="0.35">
      <c r="A206" s="189"/>
      <c r="B206" s="544"/>
      <c r="C206" s="8"/>
      <c r="D206" s="8"/>
      <c r="E206" s="236"/>
      <c r="F206" s="226"/>
      <c r="G206" s="376"/>
      <c r="H206" s="226"/>
      <c r="I206" s="237"/>
      <c r="J20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07" spans="1:10" x14ac:dyDescent="0.35">
      <c r="A207" s="189"/>
      <c r="B207" s="544"/>
      <c r="C207" s="8"/>
      <c r="D207" s="8"/>
      <c r="E207" s="236"/>
      <c r="F207" s="226"/>
      <c r="G207" s="376"/>
      <c r="H207" s="226"/>
      <c r="I207" s="237"/>
      <c r="J20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08" spans="1:10" x14ac:dyDescent="0.35">
      <c r="A208" s="189"/>
      <c r="B208" s="544"/>
      <c r="C208" s="8"/>
      <c r="D208" s="8"/>
      <c r="E208" s="236"/>
      <c r="F208" s="226"/>
      <c r="G208" s="376"/>
      <c r="H208" s="226"/>
      <c r="I208" s="237"/>
      <c r="J20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09" spans="1:10" x14ac:dyDescent="0.35">
      <c r="A209" s="189"/>
      <c r="B209" s="544"/>
      <c r="C209" s="8"/>
      <c r="D209" s="8"/>
      <c r="E209" s="236"/>
      <c r="F209" s="226"/>
      <c r="G209" s="376"/>
      <c r="H209" s="226"/>
      <c r="I209" s="237"/>
      <c r="J20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10" spans="1:10" x14ac:dyDescent="0.35">
      <c r="A210" s="189"/>
      <c r="B210" s="544"/>
      <c r="C210" s="8"/>
      <c r="D210" s="8"/>
      <c r="E210" s="236"/>
      <c r="F210" s="226"/>
      <c r="G210" s="376"/>
      <c r="H210" s="226"/>
      <c r="I210" s="237"/>
      <c r="J21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11" spans="1:10" x14ac:dyDescent="0.35">
      <c r="A211" s="189"/>
      <c r="B211" s="544"/>
      <c r="C211" s="8"/>
      <c r="D211" s="8"/>
      <c r="E211" s="236"/>
      <c r="F211" s="226"/>
      <c r="G211" s="376"/>
      <c r="H211" s="226"/>
      <c r="I211" s="237"/>
      <c r="J21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12" spans="1:10" x14ac:dyDescent="0.35">
      <c r="A212" s="189"/>
      <c r="B212" s="544"/>
      <c r="C212" s="8"/>
      <c r="D212" s="8"/>
      <c r="E212" s="236"/>
      <c r="F212" s="226"/>
      <c r="G212" s="376"/>
      <c r="H212" s="226"/>
      <c r="I212" s="237"/>
      <c r="J21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13" spans="1:10" x14ac:dyDescent="0.35">
      <c r="A213" s="189"/>
      <c r="B213" s="544"/>
      <c r="C213" s="8"/>
      <c r="D213" s="8"/>
      <c r="E213" s="236"/>
      <c r="F213" s="226"/>
      <c r="G213" s="376"/>
      <c r="H213" s="226"/>
      <c r="I213" s="237"/>
      <c r="J21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14" spans="1:10" x14ac:dyDescent="0.35">
      <c r="A214" s="189"/>
      <c r="B214" s="544"/>
      <c r="C214" s="8"/>
      <c r="D214" s="8"/>
      <c r="E214" s="236"/>
      <c r="F214" s="226"/>
      <c r="G214" s="376"/>
      <c r="H214" s="226"/>
      <c r="I214" s="237"/>
      <c r="J21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15" spans="1:10" x14ac:dyDescent="0.35">
      <c r="A215" s="189"/>
      <c r="B215" s="544"/>
      <c r="C215" s="8"/>
      <c r="D215" s="8"/>
      <c r="E215" s="236"/>
      <c r="F215" s="226"/>
      <c r="G215" s="376"/>
      <c r="H215" s="226"/>
      <c r="I215" s="237"/>
      <c r="J21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16" spans="1:10" x14ac:dyDescent="0.35">
      <c r="A216" s="189"/>
      <c r="B216" s="544"/>
      <c r="C216" s="8"/>
      <c r="D216" s="8"/>
      <c r="E216" s="236"/>
      <c r="F216" s="226"/>
      <c r="G216" s="376"/>
      <c r="H216" s="226"/>
      <c r="I216" s="237"/>
      <c r="J21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17" spans="1:10" x14ac:dyDescent="0.35">
      <c r="A217" s="189"/>
      <c r="B217" s="544"/>
      <c r="C217" s="8"/>
      <c r="D217" s="8"/>
      <c r="E217" s="236"/>
      <c r="F217" s="226"/>
      <c r="G217" s="376"/>
      <c r="H217" s="226"/>
      <c r="I217" s="237"/>
      <c r="J21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18" spans="1:10" x14ac:dyDescent="0.35">
      <c r="A218" s="189"/>
      <c r="B218" s="544"/>
      <c r="C218" s="8"/>
      <c r="D218" s="8"/>
      <c r="E218" s="236"/>
      <c r="F218" s="226"/>
      <c r="G218" s="376"/>
      <c r="H218" s="226"/>
      <c r="I218" s="237"/>
      <c r="J21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19" spans="1:10" x14ac:dyDescent="0.35">
      <c r="A219" s="189"/>
      <c r="B219" s="544"/>
      <c r="C219" s="8"/>
      <c r="D219" s="8"/>
      <c r="E219" s="238"/>
      <c r="F219" s="239"/>
      <c r="G219" s="377"/>
      <c r="H219" s="239"/>
      <c r="I219" s="240"/>
      <c r="J21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20" spans="1:10" x14ac:dyDescent="0.35">
      <c r="A220" s="189"/>
      <c r="B220" s="544"/>
      <c r="C220" s="8"/>
      <c r="D220" s="8"/>
      <c r="E220" s="236"/>
      <c r="F220" s="226"/>
      <c r="G220" s="376"/>
      <c r="H220" s="226"/>
      <c r="I220" s="237"/>
      <c r="J22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21" spans="1:10" x14ac:dyDescent="0.35">
      <c r="A221" s="189"/>
      <c r="B221" s="544"/>
      <c r="C221" s="8"/>
      <c r="D221" s="8"/>
      <c r="E221" s="236"/>
      <c r="F221" s="226"/>
      <c r="G221" s="376"/>
      <c r="H221" s="226"/>
      <c r="I221" s="237"/>
      <c r="J22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22" spans="1:10" x14ac:dyDescent="0.35">
      <c r="A222" s="189"/>
      <c r="B222" s="544"/>
      <c r="C222" s="8"/>
      <c r="D222" s="8"/>
      <c r="E222" s="236"/>
      <c r="F222" s="226"/>
      <c r="G222" s="376"/>
      <c r="H222" s="226"/>
      <c r="I222" s="237"/>
      <c r="J22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23" spans="1:10" x14ac:dyDescent="0.35">
      <c r="A223" s="189"/>
      <c r="B223" s="544"/>
      <c r="C223" s="8"/>
      <c r="D223" s="8"/>
      <c r="E223" s="236"/>
      <c r="F223" s="226"/>
      <c r="G223" s="376"/>
      <c r="H223" s="226"/>
      <c r="I223" s="237"/>
      <c r="J22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24" spans="1:10" x14ac:dyDescent="0.35">
      <c r="A224" s="189"/>
      <c r="B224" s="544"/>
      <c r="C224" s="8"/>
      <c r="D224" s="8"/>
      <c r="E224" s="236"/>
      <c r="F224" s="226"/>
      <c r="G224" s="376"/>
      <c r="H224" s="226"/>
      <c r="I224" s="237"/>
      <c r="J22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25" spans="1:10" x14ac:dyDescent="0.35">
      <c r="A225" s="189"/>
      <c r="B225" s="544"/>
      <c r="C225" s="8"/>
      <c r="D225" s="8"/>
      <c r="E225" s="236"/>
      <c r="F225" s="226"/>
      <c r="G225" s="376"/>
      <c r="H225" s="226"/>
      <c r="I225" s="237"/>
      <c r="J22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26" spans="1:10" x14ac:dyDescent="0.35">
      <c r="A226" s="189"/>
      <c r="B226" s="544"/>
      <c r="C226" s="8"/>
      <c r="D226" s="8"/>
      <c r="E226" s="236"/>
      <c r="F226" s="226"/>
      <c r="G226" s="376"/>
      <c r="H226" s="226"/>
      <c r="I226" s="237"/>
      <c r="J22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27" spans="1:10" x14ac:dyDescent="0.35">
      <c r="A227" s="189"/>
      <c r="B227" s="544"/>
      <c r="C227" s="8"/>
      <c r="D227" s="8"/>
      <c r="E227" s="236"/>
      <c r="F227" s="226"/>
      <c r="G227" s="376"/>
      <c r="H227" s="226"/>
      <c r="I227" s="237"/>
      <c r="J22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28" spans="1:10" x14ac:dyDescent="0.35">
      <c r="A228" s="189"/>
      <c r="B228" s="544"/>
      <c r="C228" s="8"/>
      <c r="D228" s="8"/>
      <c r="E228" s="236"/>
      <c r="F228" s="226"/>
      <c r="G228" s="376"/>
      <c r="H228" s="226"/>
      <c r="I228" s="237"/>
      <c r="J22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29" spans="1:10" x14ac:dyDescent="0.35">
      <c r="A229" s="189"/>
      <c r="B229" s="544"/>
      <c r="C229" s="8"/>
      <c r="D229" s="8"/>
      <c r="E229" s="236"/>
      <c r="F229" s="226"/>
      <c r="G229" s="376"/>
      <c r="H229" s="226"/>
      <c r="I229" s="237"/>
      <c r="J22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30" spans="1:10" x14ac:dyDescent="0.35">
      <c r="A230" s="189"/>
      <c r="B230" s="544"/>
      <c r="C230" s="8"/>
      <c r="D230" s="8"/>
      <c r="E230" s="236"/>
      <c r="F230" s="226"/>
      <c r="G230" s="376"/>
      <c r="H230" s="226"/>
      <c r="I230" s="237"/>
      <c r="J23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31" spans="1:10" x14ac:dyDescent="0.35">
      <c r="A231" s="189"/>
      <c r="B231" s="544"/>
      <c r="C231" s="8"/>
      <c r="D231" s="8"/>
      <c r="E231" s="236"/>
      <c r="F231" s="226"/>
      <c r="G231" s="376"/>
      <c r="H231" s="226"/>
      <c r="I231" s="237"/>
      <c r="J23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32" spans="1:10" x14ac:dyDescent="0.35">
      <c r="A232" s="189"/>
      <c r="B232" s="544"/>
      <c r="C232" s="8"/>
      <c r="D232" s="8"/>
      <c r="E232" s="236"/>
      <c r="F232" s="226"/>
      <c r="G232" s="376"/>
      <c r="H232" s="226"/>
      <c r="I232" s="237"/>
      <c r="J23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33" spans="1:10" x14ac:dyDescent="0.35">
      <c r="A233" s="189"/>
      <c r="B233" s="544"/>
      <c r="C233" s="8"/>
      <c r="D233" s="8"/>
      <c r="E233" s="236"/>
      <c r="F233" s="226"/>
      <c r="G233" s="376"/>
      <c r="H233" s="226"/>
      <c r="I233" s="237"/>
      <c r="J23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34" spans="1:10" x14ac:dyDescent="0.35">
      <c r="A234" s="189"/>
      <c r="B234" s="544"/>
      <c r="C234" s="8"/>
      <c r="D234" s="8"/>
      <c r="E234" s="236"/>
      <c r="F234" s="226"/>
      <c r="G234" s="376"/>
      <c r="H234" s="226"/>
      <c r="I234" s="237"/>
      <c r="J23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35" spans="1:10" x14ac:dyDescent="0.35">
      <c r="A235" s="189"/>
      <c r="B235" s="544"/>
      <c r="C235" s="8"/>
      <c r="D235" s="8"/>
      <c r="E235" s="236"/>
      <c r="F235" s="226"/>
      <c r="G235" s="376"/>
      <c r="H235" s="226"/>
      <c r="I235" s="237"/>
      <c r="J23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36" spans="1:10" x14ac:dyDescent="0.35">
      <c r="A236" s="189"/>
      <c r="B236" s="544"/>
      <c r="C236" s="8"/>
      <c r="D236" s="8"/>
      <c r="E236" s="238"/>
      <c r="F236" s="239"/>
      <c r="G236" s="377"/>
      <c r="H236" s="239"/>
      <c r="I236" s="240"/>
      <c r="J23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37" spans="1:10" x14ac:dyDescent="0.35">
      <c r="A237" s="189"/>
      <c r="B237" s="544"/>
      <c r="C237" s="8"/>
      <c r="D237" s="8"/>
      <c r="E237" s="236"/>
      <c r="F237" s="226"/>
      <c r="G237" s="376"/>
      <c r="H237" s="226"/>
      <c r="I237" s="237"/>
      <c r="J23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38" spans="1:10" x14ac:dyDescent="0.35">
      <c r="A238" s="189"/>
      <c r="B238" s="544"/>
      <c r="C238" s="8"/>
      <c r="D238" s="8"/>
      <c r="E238" s="236"/>
      <c r="F238" s="226"/>
      <c r="G238" s="376"/>
      <c r="H238" s="226"/>
      <c r="I238" s="237"/>
      <c r="J23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39" spans="1:10" x14ac:dyDescent="0.35">
      <c r="A239" s="189"/>
      <c r="B239" s="544"/>
      <c r="C239" s="8"/>
      <c r="D239" s="8"/>
      <c r="E239" s="236"/>
      <c r="F239" s="226"/>
      <c r="G239" s="376"/>
      <c r="H239" s="226"/>
      <c r="I239" s="237"/>
      <c r="J23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40" spans="1:10" x14ac:dyDescent="0.35">
      <c r="A240" s="189"/>
      <c r="B240" s="544"/>
      <c r="C240" s="8"/>
      <c r="D240" s="8"/>
      <c r="E240" s="236"/>
      <c r="F240" s="226"/>
      <c r="G240" s="376"/>
      <c r="H240" s="226"/>
      <c r="I240" s="237"/>
      <c r="J24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41" spans="1:10" x14ac:dyDescent="0.35">
      <c r="A241" s="189"/>
      <c r="B241" s="544"/>
      <c r="C241" s="8"/>
      <c r="D241" s="8"/>
      <c r="E241" s="236"/>
      <c r="F241" s="226"/>
      <c r="G241" s="376"/>
      <c r="H241" s="226"/>
      <c r="I241" s="237"/>
      <c r="J24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42" spans="1:10" x14ac:dyDescent="0.35">
      <c r="A242" s="189"/>
      <c r="B242" s="544"/>
      <c r="C242" s="8"/>
      <c r="D242" s="8"/>
      <c r="E242" s="236"/>
      <c r="F242" s="226"/>
      <c r="G242" s="376"/>
      <c r="H242" s="226"/>
      <c r="I242" s="237"/>
      <c r="J24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43" spans="1:10" x14ac:dyDescent="0.35">
      <c r="A243" s="189"/>
      <c r="B243" s="544"/>
      <c r="C243" s="8"/>
      <c r="D243" s="8"/>
      <c r="E243" s="236"/>
      <c r="F243" s="226"/>
      <c r="G243" s="376"/>
      <c r="H243" s="226"/>
      <c r="I243" s="237"/>
      <c r="J24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44" spans="1:10" x14ac:dyDescent="0.35">
      <c r="A244" s="189"/>
      <c r="B244" s="544"/>
      <c r="C244" s="8"/>
      <c r="D244" s="8"/>
      <c r="E244" s="236"/>
      <c r="F244" s="226"/>
      <c r="G244" s="376"/>
      <c r="H244" s="226"/>
      <c r="I244" s="237"/>
      <c r="J24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45" spans="1:10" x14ac:dyDescent="0.35">
      <c r="A245" s="189"/>
      <c r="B245" s="544"/>
      <c r="C245" s="8"/>
      <c r="D245" s="8"/>
      <c r="E245" s="236"/>
      <c r="F245" s="226"/>
      <c r="G245" s="376"/>
      <c r="H245" s="226"/>
      <c r="I245" s="237"/>
      <c r="J24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46" spans="1:10" x14ac:dyDescent="0.35">
      <c r="A246" s="189"/>
      <c r="B246" s="544"/>
      <c r="C246" s="8"/>
      <c r="D246" s="8"/>
      <c r="E246" s="236"/>
      <c r="F246" s="226"/>
      <c r="G246" s="376"/>
      <c r="H246" s="226"/>
      <c r="I246" s="237"/>
      <c r="J24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47" spans="1:10" x14ac:dyDescent="0.35">
      <c r="A247" s="189"/>
      <c r="B247" s="544"/>
      <c r="C247" s="8"/>
      <c r="D247" s="8"/>
      <c r="E247" s="236"/>
      <c r="F247" s="226"/>
      <c r="G247" s="376"/>
      <c r="H247" s="226"/>
      <c r="I247" s="237"/>
      <c r="J24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48" spans="1:10" x14ac:dyDescent="0.35">
      <c r="A248" s="189"/>
      <c r="B248" s="544"/>
      <c r="C248" s="8"/>
      <c r="D248" s="8"/>
      <c r="E248" s="236"/>
      <c r="F248" s="226"/>
      <c r="G248" s="376"/>
      <c r="H248" s="226"/>
      <c r="I248" s="237"/>
      <c r="J24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49" spans="1:10" x14ac:dyDescent="0.35">
      <c r="A249" s="189"/>
      <c r="B249" s="544"/>
      <c r="C249" s="8"/>
      <c r="D249" s="8"/>
      <c r="E249" s="236"/>
      <c r="F249" s="226"/>
      <c r="G249" s="376"/>
      <c r="H249" s="226"/>
      <c r="I249" s="237"/>
      <c r="J24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50" spans="1:10" x14ac:dyDescent="0.35">
      <c r="A250" s="189"/>
      <c r="B250" s="544"/>
      <c r="C250" s="8"/>
      <c r="D250" s="8"/>
      <c r="E250" s="236"/>
      <c r="F250" s="226"/>
      <c r="G250" s="376"/>
      <c r="H250" s="226"/>
      <c r="I250" s="237"/>
      <c r="J25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51" spans="1:10" x14ac:dyDescent="0.35">
      <c r="A251" s="189"/>
      <c r="B251" s="544"/>
      <c r="C251" s="8"/>
      <c r="D251" s="8"/>
      <c r="E251" s="236"/>
      <c r="F251" s="226"/>
      <c r="G251" s="376"/>
      <c r="H251" s="226"/>
      <c r="I251" s="237"/>
      <c r="J25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52" spans="1:10" x14ac:dyDescent="0.35">
      <c r="A252" s="189"/>
      <c r="B252" s="544"/>
      <c r="C252" s="8"/>
      <c r="D252" s="8"/>
      <c r="E252" s="236"/>
      <c r="F252" s="226"/>
      <c r="G252" s="376"/>
      <c r="H252" s="226"/>
      <c r="I252" s="237"/>
      <c r="J25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53" spans="1:10" x14ac:dyDescent="0.35">
      <c r="A253" s="189"/>
      <c r="B253" s="544"/>
      <c r="C253" s="8"/>
      <c r="D253" s="8"/>
      <c r="E253" s="238"/>
      <c r="F253" s="239"/>
      <c r="G253" s="377"/>
      <c r="H253" s="239"/>
      <c r="I253" s="240"/>
      <c r="J25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54" spans="1:10" x14ac:dyDescent="0.35">
      <c r="A254" s="189"/>
      <c r="B254" s="544"/>
      <c r="C254" s="8"/>
      <c r="D254" s="8"/>
      <c r="E254" s="236"/>
      <c r="F254" s="226"/>
      <c r="G254" s="376"/>
      <c r="H254" s="226"/>
      <c r="I254" s="237"/>
      <c r="J25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55" spans="1:10" x14ac:dyDescent="0.35">
      <c r="A255" s="189"/>
      <c r="B255" s="544"/>
      <c r="C255" s="8"/>
      <c r="D255" s="8"/>
      <c r="E255" s="236"/>
      <c r="F255" s="226"/>
      <c r="G255" s="376"/>
      <c r="H255" s="226"/>
      <c r="I255" s="237"/>
      <c r="J25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56" spans="1:10" x14ac:dyDescent="0.35">
      <c r="A256" s="189"/>
      <c r="B256" s="544"/>
      <c r="C256" s="8"/>
      <c r="D256" s="8"/>
      <c r="E256" s="236"/>
      <c r="F256" s="226"/>
      <c r="G256" s="376"/>
      <c r="H256" s="226"/>
      <c r="I256" s="237"/>
      <c r="J25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57" spans="1:10" x14ac:dyDescent="0.35">
      <c r="A257" s="189"/>
      <c r="B257" s="544"/>
      <c r="C257" s="8"/>
      <c r="D257" s="8"/>
      <c r="E257" s="236"/>
      <c r="F257" s="226"/>
      <c r="G257" s="376"/>
      <c r="H257" s="226"/>
      <c r="I257" s="237"/>
      <c r="J25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58" spans="1:10" x14ac:dyDescent="0.35">
      <c r="A258" s="189"/>
      <c r="B258" s="544"/>
      <c r="C258" s="8"/>
      <c r="D258" s="8"/>
      <c r="E258" s="236"/>
      <c r="F258" s="226"/>
      <c r="G258" s="376"/>
      <c r="H258" s="226"/>
      <c r="I258" s="237"/>
      <c r="J25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59" spans="1:10" x14ac:dyDescent="0.35">
      <c r="A259" s="189"/>
      <c r="B259" s="544"/>
      <c r="C259" s="8"/>
      <c r="D259" s="8"/>
      <c r="E259" s="236"/>
      <c r="F259" s="226"/>
      <c r="G259" s="376"/>
      <c r="H259" s="226"/>
      <c r="I259" s="237"/>
      <c r="J25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60" spans="1:10" x14ac:dyDescent="0.35">
      <c r="A260" s="189"/>
      <c r="B260" s="544"/>
      <c r="C260" s="8"/>
      <c r="D260" s="8"/>
      <c r="E260" s="236"/>
      <c r="F260" s="226"/>
      <c r="G260" s="376"/>
      <c r="H260" s="226"/>
      <c r="I260" s="237"/>
      <c r="J26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61" spans="1:10" x14ac:dyDescent="0.35">
      <c r="A261" s="189"/>
      <c r="B261" s="544"/>
      <c r="C261" s="8"/>
      <c r="D261" s="8"/>
      <c r="E261" s="236"/>
      <c r="F261" s="226"/>
      <c r="G261" s="376"/>
      <c r="H261" s="226"/>
      <c r="I261" s="237"/>
      <c r="J26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62" spans="1:10" x14ac:dyDescent="0.35">
      <c r="A262" s="189"/>
      <c r="B262" s="544"/>
      <c r="C262" s="8"/>
      <c r="D262" s="8"/>
      <c r="E262" s="236"/>
      <c r="F262" s="226"/>
      <c r="G262" s="376"/>
      <c r="H262" s="226"/>
      <c r="I262" s="237"/>
      <c r="J26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63" spans="1:10" x14ac:dyDescent="0.35">
      <c r="A263" s="189"/>
      <c r="B263" s="544"/>
      <c r="C263" s="8"/>
      <c r="D263" s="8"/>
      <c r="E263" s="236"/>
      <c r="F263" s="226"/>
      <c r="G263" s="376"/>
      <c r="H263" s="226"/>
      <c r="I263" s="237"/>
      <c r="J26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64" spans="1:10" x14ac:dyDescent="0.35">
      <c r="A264" s="189"/>
      <c r="B264" s="544"/>
      <c r="C264" s="8"/>
      <c r="D264" s="8"/>
      <c r="E264" s="236"/>
      <c r="F264" s="226"/>
      <c r="G264" s="376"/>
      <c r="H264" s="226"/>
      <c r="I264" s="237"/>
      <c r="J26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65" spans="1:10" x14ac:dyDescent="0.35">
      <c r="A265" s="189"/>
      <c r="B265" s="544"/>
      <c r="C265" s="8"/>
      <c r="D265" s="8"/>
      <c r="E265" s="236"/>
      <c r="F265" s="226"/>
      <c r="G265" s="376"/>
      <c r="H265" s="226"/>
      <c r="I265" s="237"/>
      <c r="J26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66" spans="1:10" x14ac:dyDescent="0.35">
      <c r="A266" s="189"/>
      <c r="B266" s="544"/>
      <c r="C266" s="8"/>
      <c r="D266" s="8"/>
      <c r="E266" s="236"/>
      <c r="F266" s="226"/>
      <c r="G266" s="376"/>
      <c r="H266" s="226"/>
      <c r="I266" s="237"/>
      <c r="J26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67" spans="1:10" x14ac:dyDescent="0.35">
      <c r="A267" s="189"/>
      <c r="B267" s="544"/>
      <c r="C267" s="8"/>
      <c r="D267" s="8"/>
      <c r="E267" s="236"/>
      <c r="F267" s="226"/>
      <c r="G267" s="376"/>
      <c r="H267" s="226"/>
      <c r="I267" s="237"/>
      <c r="J26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68" spans="1:10" x14ac:dyDescent="0.35">
      <c r="A268" s="189"/>
      <c r="B268" s="544"/>
      <c r="C268" s="8"/>
      <c r="D268" s="8"/>
      <c r="E268" s="236"/>
      <c r="F268" s="226"/>
      <c r="G268" s="376"/>
      <c r="H268" s="226"/>
      <c r="I268" s="237"/>
      <c r="J26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69" spans="1:10" x14ac:dyDescent="0.35">
      <c r="A269" s="189"/>
      <c r="B269" s="544"/>
      <c r="C269" s="8"/>
      <c r="D269" s="8"/>
      <c r="E269" s="236"/>
      <c r="F269" s="226"/>
      <c r="G269" s="376"/>
      <c r="H269" s="226"/>
      <c r="I269" s="237"/>
      <c r="J26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70" spans="1:10" x14ac:dyDescent="0.35">
      <c r="A270" s="189"/>
      <c r="B270" s="544"/>
      <c r="C270" s="8"/>
      <c r="D270" s="8"/>
      <c r="E270" s="238"/>
      <c r="F270" s="239"/>
      <c r="G270" s="377"/>
      <c r="H270" s="239"/>
      <c r="I270" s="240"/>
      <c r="J27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71" spans="1:10" x14ac:dyDescent="0.35">
      <c r="A271" s="189"/>
      <c r="B271" s="544"/>
      <c r="C271" s="8"/>
      <c r="D271" s="8"/>
      <c r="E271" s="236"/>
      <c r="F271" s="226"/>
      <c r="G271" s="376"/>
      <c r="H271" s="226"/>
      <c r="I271" s="237"/>
      <c r="J27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72" spans="1:10" x14ac:dyDescent="0.35">
      <c r="A272" s="189"/>
      <c r="B272" s="544"/>
      <c r="C272" s="8"/>
      <c r="D272" s="8"/>
      <c r="E272" s="236"/>
      <c r="F272" s="226"/>
      <c r="G272" s="376"/>
      <c r="H272" s="226"/>
      <c r="I272" s="237"/>
      <c r="J27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73" spans="1:10" x14ac:dyDescent="0.35">
      <c r="A273" s="189"/>
      <c r="B273" s="544"/>
      <c r="C273" s="8"/>
      <c r="D273" s="8"/>
      <c r="E273" s="236"/>
      <c r="F273" s="226"/>
      <c r="G273" s="376"/>
      <c r="H273" s="226"/>
      <c r="I273" s="237"/>
      <c r="J27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74" spans="1:10" x14ac:dyDescent="0.35">
      <c r="A274" s="189"/>
      <c r="B274" s="544"/>
      <c r="C274" s="8"/>
      <c r="D274" s="8"/>
      <c r="E274" s="236"/>
      <c r="F274" s="226"/>
      <c r="G274" s="376"/>
      <c r="H274" s="226"/>
      <c r="I274" s="237"/>
      <c r="J27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75" spans="1:10" x14ac:dyDescent="0.35">
      <c r="A275" s="189"/>
      <c r="B275" s="544"/>
      <c r="C275" s="8"/>
      <c r="D275" s="8"/>
      <c r="E275" s="236"/>
      <c r="F275" s="226"/>
      <c r="G275" s="376"/>
      <c r="H275" s="226"/>
      <c r="I275" s="237"/>
      <c r="J27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76" spans="1:10" x14ac:dyDescent="0.35">
      <c r="A276" s="189"/>
      <c r="B276" s="544"/>
      <c r="C276" s="8"/>
      <c r="D276" s="8"/>
      <c r="E276" s="236"/>
      <c r="F276" s="226"/>
      <c r="G276" s="376"/>
      <c r="H276" s="226"/>
      <c r="I276" s="237"/>
      <c r="J27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77" spans="1:10" x14ac:dyDescent="0.35">
      <c r="A277" s="189"/>
      <c r="B277" s="544"/>
      <c r="C277" s="8"/>
      <c r="D277" s="8"/>
      <c r="E277" s="236"/>
      <c r="F277" s="226"/>
      <c r="G277" s="376"/>
      <c r="H277" s="226"/>
      <c r="I277" s="237"/>
      <c r="J27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78" spans="1:10" x14ac:dyDescent="0.35">
      <c r="A278" s="189"/>
      <c r="B278" s="544"/>
      <c r="C278" s="8"/>
      <c r="D278" s="8"/>
      <c r="E278" s="236"/>
      <c r="F278" s="226"/>
      <c r="G278" s="376"/>
      <c r="H278" s="226"/>
      <c r="I278" s="237"/>
      <c r="J27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79" spans="1:10" x14ac:dyDescent="0.35">
      <c r="A279" s="189"/>
      <c r="B279" s="544"/>
      <c r="C279" s="8"/>
      <c r="D279" s="8"/>
      <c r="E279" s="236"/>
      <c r="F279" s="226"/>
      <c r="G279" s="376"/>
      <c r="H279" s="226"/>
      <c r="I279" s="237"/>
      <c r="J27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80" spans="1:10" x14ac:dyDescent="0.35">
      <c r="A280" s="189"/>
      <c r="B280" s="544"/>
      <c r="C280" s="8"/>
      <c r="D280" s="8"/>
      <c r="E280" s="236"/>
      <c r="F280" s="226"/>
      <c r="G280" s="376"/>
      <c r="H280" s="226"/>
      <c r="I280" s="237"/>
      <c r="J28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81" spans="1:10" x14ac:dyDescent="0.35">
      <c r="A281" s="189"/>
      <c r="B281" s="544"/>
      <c r="C281" s="8"/>
      <c r="D281" s="8"/>
      <c r="E281" s="236"/>
      <c r="F281" s="226"/>
      <c r="G281" s="376"/>
      <c r="H281" s="226"/>
      <c r="I281" s="237"/>
      <c r="J28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82" spans="1:10" x14ac:dyDescent="0.35">
      <c r="A282" s="189"/>
      <c r="B282" s="544"/>
      <c r="C282" s="8"/>
      <c r="D282" s="8"/>
      <c r="E282" s="236"/>
      <c r="F282" s="226"/>
      <c r="G282" s="376"/>
      <c r="H282" s="226"/>
      <c r="I282" s="237"/>
      <c r="J28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83" spans="1:10" x14ac:dyDescent="0.35">
      <c r="A283" s="189"/>
      <c r="B283" s="544"/>
      <c r="C283" s="8"/>
      <c r="D283" s="8"/>
      <c r="E283" s="236"/>
      <c r="F283" s="226"/>
      <c r="G283" s="376"/>
      <c r="H283" s="226"/>
      <c r="I283" s="237"/>
      <c r="J28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84" spans="1:10" x14ac:dyDescent="0.35">
      <c r="A284" s="189"/>
      <c r="B284" s="544"/>
      <c r="C284" s="8"/>
      <c r="D284" s="8"/>
      <c r="E284" s="236"/>
      <c r="F284" s="226"/>
      <c r="G284" s="376"/>
      <c r="H284" s="226"/>
      <c r="I284" s="237"/>
      <c r="J28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85" spans="1:10" x14ac:dyDescent="0.35">
      <c r="A285" s="189"/>
      <c r="B285" s="544"/>
      <c r="C285" s="8"/>
      <c r="D285" s="8"/>
      <c r="E285" s="236"/>
      <c r="F285" s="226"/>
      <c r="G285" s="376"/>
      <c r="H285" s="226"/>
      <c r="I285" s="237"/>
      <c r="J28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86" spans="1:10" x14ac:dyDescent="0.35">
      <c r="A286" s="189"/>
      <c r="B286" s="544"/>
      <c r="C286" s="8"/>
      <c r="D286" s="8"/>
      <c r="E286" s="236"/>
      <c r="F286" s="226"/>
      <c r="G286" s="376"/>
      <c r="H286" s="226"/>
      <c r="I286" s="237"/>
      <c r="J28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87" spans="1:10" x14ac:dyDescent="0.35">
      <c r="A287" s="189"/>
      <c r="B287" s="544"/>
      <c r="C287" s="8"/>
      <c r="D287" s="8"/>
      <c r="E287" s="238"/>
      <c r="F287" s="239"/>
      <c r="G287" s="377"/>
      <c r="H287" s="239"/>
      <c r="I287" s="240"/>
      <c r="J28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88" spans="1:10" x14ac:dyDescent="0.35">
      <c r="A288" s="189"/>
      <c r="B288" s="544"/>
      <c r="C288" s="8"/>
      <c r="D288" s="8"/>
      <c r="E288" s="236"/>
      <c r="F288" s="226"/>
      <c r="G288" s="376"/>
      <c r="H288" s="226"/>
      <c r="I288" s="237"/>
      <c r="J28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89" spans="1:10" x14ac:dyDescent="0.35">
      <c r="A289" s="9"/>
      <c r="B289" s="9"/>
      <c r="C289" s="9"/>
      <c r="D289" s="9"/>
      <c r="E289" s="9"/>
      <c r="F289" s="9"/>
      <c r="G289" s="9"/>
      <c r="H289" s="9"/>
      <c r="I289" s="9"/>
      <c r="J28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90" spans="1:10" x14ac:dyDescent="0.35">
      <c r="A290" s="9"/>
      <c r="B290" s="9"/>
      <c r="C290" s="9"/>
      <c r="D290" s="9"/>
      <c r="E290" s="9"/>
      <c r="F290" s="9"/>
      <c r="G290" s="9"/>
      <c r="H290" s="9"/>
      <c r="I290" s="9"/>
      <c r="J29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91" spans="1:10" x14ac:dyDescent="0.35">
      <c r="A291" s="9"/>
      <c r="B291" s="9"/>
      <c r="C291" s="9"/>
      <c r="D291" s="9"/>
      <c r="E291" s="9"/>
      <c r="F291" s="9"/>
      <c r="G291" s="9"/>
      <c r="H291" s="9"/>
      <c r="I291" s="9"/>
      <c r="J29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92" spans="1:10" x14ac:dyDescent="0.35">
      <c r="A292" s="9"/>
      <c r="B292" s="9"/>
      <c r="C292" s="9"/>
      <c r="D292" s="9"/>
      <c r="E292" s="9"/>
      <c r="F292" s="9"/>
      <c r="G292" s="9"/>
      <c r="H292" s="9"/>
      <c r="I292" s="9"/>
      <c r="J29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93" spans="1:10" x14ac:dyDescent="0.35">
      <c r="A293" s="9"/>
      <c r="B293" s="9"/>
      <c r="C293" s="9"/>
      <c r="D293" s="9"/>
      <c r="E293" s="9"/>
      <c r="F293" s="9"/>
      <c r="G293" s="9"/>
      <c r="H293" s="9"/>
      <c r="I293" s="9"/>
      <c r="J29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94" spans="1:10" x14ac:dyDescent="0.35">
      <c r="A294" s="9"/>
      <c r="B294" s="9"/>
      <c r="C294" s="9"/>
      <c r="D294" s="9"/>
      <c r="E294" s="9"/>
      <c r="F294" s="9"/>
      <c r="G294" s="9"/>
      <c r="H294" s="9"/>
      <c r="I294" s="9"/>
      <c r="J29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95" spans="1:10" x14ac:dyDescent="0.35">
      <c r="A295" s="9"/>
      <c r="B295" s="9"/>
      <c r="C295" s="9"/>
      <c r="D295" s="9"/>
      <c r="E295" s="9"/>
      <c r="F295" s="9"/>
      <c r="G295" s="9"/>
      <c r="H295" s="9"/>
      <c r="I295" s="9"/>
      <c r="J29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96" spans="1:10" x14ac:dyDescent="0.35">
      <c r="A296" s="9"/>
      <c r="B296" s="9"/>
      <c r="C296" s="9"/>
      <c r="D296" s="9"/>
      <c r="E296" s="9"/>
      <c r="F296" s="9"/>
      <c r="G296" s="9"/>
      <c r="H296" s="9"/>
      <c r="I296" s="9"/>
      <c r="J29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97" spans="1:10" x14ac:dyDescent="0.35">
      <c r="A297" s="9"/>
      <c r="B297" s="9"/>
      <c r="C297" s="9"/>
      <c r="D297" s="9"/>
      <c r="E297" s="9"/>
      <c r="F297" s="9"/>
      <c r="G297" s="9"/>
      <c r="H297" s="9"/>
      <c r="I297" s="9"/>
      <c r="J29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98" spans="1:10" x14ac:dyDescent="0.35">
      <c r="A298" s="9"/>
      <c r="B298" s="9"/>
      <c r="C298" s="9"/>
      <c r="D298" s="9"/>
      <c r="E298" s="9"/>
      <c r="F298" s="9"/>
      <c r="G298" s="9"/>
      <c r="H298" s="9"/>
      <c r="I298" s="9"/>
      <c r="J29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299" spans="1:10" x14ac:dyDescent="0.35">
      <c r="A299" s="9"/>
      <c r="B299" s="9"/>
      <c r="C299" s="9"/>
      <c r="D299" s="9"/>
      <c r="E299" s="9"/>
      <c r="F299" s="9"/>
      <c r="G299" s="9"/>
      <c r="H299" s="9"/>
      <c r="I299" s="9"/>
      <c r="J29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00" spans="1:10" x14ac:dyDescent="0.35">
      <c r="A300" s="9"/>
      <c r="B300" s="9"/>
      <c r="C300" s="9"/>
      <c r="D300" s="9"/>
      <c r="E300" s="9"/>
      <c r="F300" s="9"/>
      <c r="G300" s="9"/>
      <c r="H300" s="9"/>
      <c r="I300" s="9"/>
      <c r="J30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01" spans="1:10" x14ac:dyDescent="0.35">
      <c r="A301" s="9"/>
      <c r="B301" s="9"/>
      <c r="C301" s="9"/>
      <c r="D301" s="9"/>
      <c r="E301" s="9"/>
      <c r="F301" s="9"/>
      <c r="G301" s="9"/>
      <c r="H301" s="9"/>
      <c r="I301" s="9"/>
      <c r="J30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02" spans="1:10" x14ac:dyDescent="0.35">
      <c r="A302" s="9"/>
      <c r="B302" s="9"/>
      <c r="C302" s="9"/>
      <c r="D302" s="9"/>
      <c r="E302" s="9"/>
      <c r="F302" s="9"/>
      <c r="G302" s="9"/>
      <c r="H302" s="9"/>
      <c r="I302" s="9"/>
      <c r="J30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03" spans="1:10" x14ac:dyDescent="0.35">
      <c r="A303" s="9"/>
      <c r="B303" s="9"/>
      <c r="C303" s="9"/>
      <c r="D303" s="9"/>
      <c r="E303" s="9"/>
      <c r="F303" s="9"/>
      <c r="G303" s="9"/>
      <c r="H303" s="9"/>
      <c r="I303" s="9"/>
      <c r="J30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04" spans="1:10" x14ac:dyDescent="0.35">
      <c r="A304" s="9"/>
      <c r="B304" s="9"/>
      <c r="C304" s="9"/>
      <c r="D304" s="9"/>
      <c r="E304" s="9"/>
      <c r="F304" s="9"/>
      <c r="G304" s="9"/>
      <c r="H304" s="9"/>
      <c r="I304" s="9"/>
      <c r="J30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05" spans="1:10" x14ac:dyDescent="0.35">
      <c r="A305" s="9"/>
      <c r="B305" s="9"/>
      <c r="C305" s="9"/>
      <c r="D305" s="9"/>
      <c r="E305" s="9"/>
      <c r="F305" s="9"/>
      <c r="G305" s="9"/>
      <c r="H305" s="9"/>
      <c r="I305" s="9"/>
      <c r="J30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06" spans="1:10" x14ac:dyDescent="0.35">
      <c r="A306" s="9"/>
      <c r="B306" s="9"/>
      <c r="C306" s="9"/>
      <c r="D306" s="9"/>
      <c r="E306" s="9"/>
      <c r="F306" s="9"/>
      <c r="G306" s="9"/>
      <c r="H306" s="9"/>
      <c r="I306" s="9"/>
      <c r="J30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07" spans="1:10" x14ac:dyDescent="0.35">
      <c r="A307" s="9"/>
      <c r="B307" s="9"/>
      <c r="C307" s="9"/>
      <c r="D307" s="9"/>
      <c r="E307" s="9"/>
      <c r="F307" s="9"/>
      <c r="G307" s="9"/>
      <c r="H307" s="9"/>
      <c r="I307" s="9"/>
      <c r="J30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08" spans="1:10" x14ac:dyDescent="0.35">
      <c r="A308" s="9"/>
      <c r="B308" s="9"/>
      <c r="C308" s="9"/>
      <c r="D308" s="9"/>
      <c r="E308" s="9"/>
      <c r="F308" s="9"/>
      <c r="G308" s="9"/>
      <c r="H308" s="9"/>
      <c r="I308" s="9"/>
      <c r="J30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09" spans="1:10" x14ac:dyDescent="0.35">
      <c r="A309" s="9"/>
      <c r="B309" s="9"/>
      <c r="C309" s="9"/>
      <c r="D309" s="9"/>
      <c r="E309" s="9"/>
      <c r="F309" s="9"/>
      <c r="G309" s="9"/>
      <c r="H309" s="9"/>
      <c r="I309" s="9"/>
      <c r="J30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10" spans="1:10" x14ac:dyDescent="0.35">
      <c r="A310" s="9"/>
      <c r="B310" s="9"/>
      <c r="C310" s="9"/>
      <c r="D310" s="9"/>
      <c r="E310" s="9"/>
      <c r="F310" s="9"/>
      <c r="G310" s="9"/>
      <c r="H310" s="9"/>
      <c r="I310" s="9"/>
      <c r="J31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11" spans="1:10" x14ac:dyDescent="0.35">
      <c r="A311" s="9"/>
      <c r="B311" s="9"/>
      <c r="C311" s="9"/>
      <c r="D311" s="9"/>
      <c r="E311" s="9"/>
      <c r="F311" s="9"/>
      <c r="G311" s="9"/>
      <c r="H311" s="9"/>
      <c r="I311" s="9"/>
      <c r="J31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12" spans="1:10" x14ac:dyDescent="0.35">
      <c r="A312" s="9"/>
      <c r="B312" s="9"/>
      <c r="C312" s="9"/>
      <c r="D312" s="9"/>
      <c r="E312" s="9"/>
      <c r="F312" s="9"/>
      <c r="G312" s="9"/>
      <c r="H312" s="9"/>
      <c r="I312" s="9"/>
      <c r="J31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13" spans="1:10" x14ac:dyDescent="0.35">
      <c r="A313" s="9"/>
      <c r="B313" s="9"/>
      <c r="C313" s="9"/>
      <c r="D313" s="9"/>
      <c r="E313" s="9"/>
      <c r="F313" s="9"/>
      <c r="G313" s="9"/>
      <c r="H313" s="9"/>
      <c r="I313" s="9"/>
      <c r="J31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14" spans="1:10" x14ac:dyDescent="0.35">
      <c r="A314" s="9"/>
      <c r="B314" s="9"/>
      <c r="C314" s="9"/>
      <c r="D314" s="9"/>
      <c r="E314" s="9"/>
      <c r="F314" s="9"/>
      <c r="G314" s="9"/>
      <c r="H314" s="9"/>
      <c r="I314" s="9"/>
      <c r="J31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15" spans="1:10" x14ac:dyDescent="0.35">
      <c r="A315" s="9"/>
      <c r="B315" s="9"/>
      <c r="C315" s="9"/>
      <c r="D315" s="9"/>
      <c r="E315" s="9"/>
      <c r="F315" s="9"/>
      <c r="G315" s="9"/>
      <c r="H315" s="9"/>
      <c r="I315" s="9"/>
      <c r="J31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16" spans="1:10" x14ac:dyDescent="0.35">
      <c r="A316" s="9"/>
      <c r="B316" s="9"/>
      <c r="C316" s="9"/>
      <c r="D316" s="9"/>
      <c r="E316" s="9"/>
      <c r="F316" s="9"/>
      <c r="G316" s="9"/>
      <c r="H316" s="9"/>
      <c r="I316" s="9"/>
      <c r="J31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17" spans="1:10" x14ac:dyDescent="0.35">
      <c r="A317" s="9"/>
      <c r="B317" s="9"/>
      <c r="C317" s="9"/>
      <c r="D317" s="9"/>
      <c r="E317" s="9"/>
      <c r="F317" s="9"/>
      <c r="G317" s="9"/>
      <c r="H317" s="9"/>
      <c r="I317" s="9"/>
      <c r="J31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18" spans="1:10" x14ac:dyDescent="0.35">
      <c r="A318" s="9"/>
      <c r="B318" s="9"/>
      <c r="C318" s="9"/>
      <c r="D318" s="9"/>
      <c r="E318" s="9"/>
      <c r="F318" s="9"/>
      <c r="G318" s="9"/>
      <c r="H318" s="9"/>
      <c r="I318" s="9"/>
      <c r="J31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19" spans="1:10" x14ac:dyDescent="0.35">
      <c r="A319" s="9"/>
      <c r="B319" s="9"/>
      <c r="C319" s="9"/>
      <c r="D319" s="9"/>
      <c r="E319" s="9"/>
      <c r="F319" s="9"/>
      <c r="G319" s="9"/>
      <c r="H319" s="9"/>
      <c r="I319" s="9"/>
      <c r="J31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20" spans="1:10" x14ac:dyDescent="0.35">
      <c r="A320" s="9"/>
      <c r="B320" s="9"/>
      <c r="C320" s="9"/>
      <c r="D320" s="9"/>
      <c r="E320" s="9"/>
      <c r="F320" s="9"/>
      <c r="G320" s="9"/>
      <c r="H320" s="9"/>
      <c r="I320" s="9"/>
      <c r="J32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21" spans="1:10" x14ac:dyDescent="0.35">
      <c r="A321" s="9"/>
      <c r="B321" s="9"/>
      <c r="C321" s="9"/>
      <c r="D321" s="9"/>
      <c r="E321" s="9"/>
      <c r="F321" s="9"/>
      <c r="G321" s="9"/>
      <c r="H321" s="9"/>
      <c r="I321" s="9"/>
      <c r="J32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22" spans="1:10" x14ac:dyDescent="0.35">
      <c r="A322" s="9"/>
      <c r="B322" s="9"/>
      <c r="C322" s="9"/>
      <c r="D322" s="9"/>
      <c r="E322" s="9"/>
      <c r="F322" s="9"/>
      <c r="G322" s="9"/>
      <c r="H322" s="9"/>
      <c r="I322" s="9"/>
      <c r="J32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23" spans="1:10" x14ac:dyDescent="0.35">
      <c r="A323" s="9"/>
      <c r="B323" s="9"/>
      <c r="C323" s="9"/>
      <c r="D323" s="9"/>
      <c r="E323" s="9"/>
      <c r="F323" s="9"/>
      <c r="G323" s="9"/>
      <c r="H323" s="9"/>
      <c r="I323" s="9"/>
      <c r="J32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24" spans="1:10" x14ac:dyDescent="0.35">
      <c r="A324" s="9"/>
      <c r="B324" s="9"/>
      <c r="C324" s="9"/>
      <c r="D324" s="9"/>
      <c r="E324" s="9"/>
      <c r="F324" s="9"/>
      <c r="G324" s="9"/>
      <c r="H324" s="9"/>
      <c r="I324" s="9"/>
      <c r="J32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25" spans="1:10" x14ac:dyDescent="0.35">
      <c r="A325" s="9"/>
      <c r="B325" s="9"/>
      <c r="C325" s="9"/>
      <c r="D325" s="9"/>
      <c r="E325" s="9"/>
      <c r="F325" s="9"/>
      <c r="G325" s="9"/>
      <c r="H325" s="9"/>
      <c r="I325" s="9"/>
      <c r="J32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26" spans="1:10" x14ac:dyDescent="0.35">
      <c r="A326" s="9"/>
      <c r="B326" s="9"/>
      <c r="C326" s="9"/>
      <c r="D326" s="9"/>
      <c r="E326" s="9"/>
      <c r="F326" s="9"/>
      <c r="G326" s="9"/>
      <c r="H326" s="9"/>
      <c r="I326" s="9"/>
      <c r="J32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27" spans="1:10" x14ac:dyDescent="0.35">
      <c r="A327" s="9"/>
      <c r="B327" s="9"/>
      <c r="C327" s="9"/>
      <c r="D327" s="9"/>
      <c r="E327" s="9"/>
      <c r="F327" s="9"/>
      <c r="G327" s="9"/>
      <c r="H327" s="9"/>
      <c r="I327" s="9"/>
      <c r="J32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28" spans="1:10" x14ac:dyDescent="0.35">
      <c r="A328" s="9"/>
      <c r="B328" s="9"/>
      <c r="C328" s="9"/>
      <c r="D328" s="9"/>
      <c r="E328" s="9"/>
      <c r="F328" s="9"/>
      <c r="G328" s="9"/>
      <c r="H328" s="9"/>
      <c r="I328" s="9"/>
      <c r="J32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29" spans="1:10" x14ac:dyDescent="0.35">
      <c r="A329" s="9"/>
      <c r="B329" s="9"/>
      <c r="C329" s="9"/>
      <c r="D329" s="9"/>
      <c r="E329" s="9"/>
      <c r="F329" s="9"/>
      <c r="G329" s="9"/>
      <c r="H329" s="9"/>
      <c r="I329" s="9"/>
      <c r="J32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30" spans="1:10" x14ac:dyDescent="0.35">
      <c r="A330" s="9"/>
      <c r="B330" s="9"/>
      <c r="C330" s="9"/>
      <c r="D330" s="9"/>
      <c r="E330" s="9"/>
      <c r="F330" s="9"/>
      <c r="G330" s="9"/>
      <c r="H330" s="9"/>
      <c r="I330" s="9"/>
      <c r="J33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31" spans="1:10" x14ac:dyDescent="0.35">
      <c r="A331" s="9"/>
      <c r="B331" s="9"/>
      <c r="C331" s="9"/>
      <c r="D331" s="9"/>
      <c r="E331" s="9"/>
      <c r="F331" s="9"/>
      <c r="G331" s="9"/>
      <c r="H331" s="9"/>
      <c r="I331" s="9"/>
      <c r="J33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32" spans="1:10" x14ac:dyDescent="0.35">
      <c r="A332" s="9"/>
      <c r="B332" s="9"/>
      <c r="C332" s="9"/>
      <c r="D332" s="9"/>
      <c r="E332" s="9"/>
      <c r="F332" s="9"/>
      <c r="G332" s="9"/>
      <c r="H332" s="9"/>
      <c r="I332" s="9"/>
      <c r="J33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33" spans="1:10" x14ac:dyDescent="0.35">
      <c r="A333" s="9"/>
      <c r="B333" s="9"/>
      <c r="C333" s="9"/>
      <c r="D333" s="9"/>
      <c r="E333" s="9"/>
      <c r="F333" s="9"/>
      <c r="G333" s="9"/>
      <c r="H333" s="9"/>
      <c r="I333" s="9"/>
      <c r="J33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34" spans="1:10" x14ac:dyDescent="0.35">
      <c r="A334" s="9"/>
      <c r="B334" s="9"/>
      <c r="C334" s="9"/>
      <c r="D334" s="9"/>
      <c r="E334" s="9"/>
      <c r="F334" s="9"/>
      <c r="G334" s="9"/>
      <c r="H334" s="9"/>
      <c r="I334" s="9"/>
      <c r="J33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35" spans="1:10" x14ac:dyDescent="0.35">
      <c r="A335" s="9"/>
      <c r="B335" s="9"/>
      <c r="C335" s="9"/>
      <c r="D335" s="9"/>
      <c r="E335" s="9"/>
      <c r="F335" s="9"/>
      <c r="G335" s="9"/>
      <c r="H335" s="9"/>
      <c r="I335" s="9"/>
      <c r="J33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36" spans="1:10" x14ac:dyDescent="0.35">
      <c r="A336" s="9"/>
      <c r="B336" s="9"/>
      <c r="C336" s="9"/>
      <c r="D336" s="9"/>
      <c r="E336" s="9"/>
      <c r="F336" s="9"/>
      <c r="G336" s="9"/>
      <c r="H336" s="9"/>
      <c r="I336" s="9"/>
      <c r="J33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37" spans="1:10" x14ac:dyDescent="0.35">
      <c r="A337" s="9"/>
      <c r="B337" s="9"/>
      <c r="C337" s="9"/>
      <c r="D337" s="9"/>
      <c r="E337" s="9"/>
      <c r="F337" s="9"/>
      <c r="G337" s="9"/>
      <c r="H337" s="9"/>
      <c r="I337" s="9"/>
      <c r="J33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38" spans="1:10" x14ac:dyDescent="0.35">
      <c r="A338" s="9"/>
      <c r="B338" s="9"/>
      <c r="C338" s="9"/>
      <c r="D338" s="9"/>
      <c r="E338" s="9"/>
      <c r="F338" s="9"/>
      <c r="G338" s="9"/>
      <c r="H338" s="9"/>
      <c r="I338" s="9"/>
      <c r="J33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39" spans="1:10" x14ac:dyDescent="0.35">
      <c r="A339" s="9"/>
      <c r="B339" s="9"/>
      <c r="C339" s="9"/>
      <c r="D339" s="9"/>
      <c r="E339" s="9"/>
      <c r="F339" s="9"/>
      <c r="G339" s="9"/>
      <c r="H339" s="9"/>
      <c r="I339" s="9"/>
      <c r="J33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40" spans="1:10" x14ac:dyDescent="0.35">
      <c r="A340" s="9"/>
      <c r="B340" s="9"/>
      <c r="C340" s="9"/>
      <c r="D340" s="9"/>
      <c r="E340" s="9"/>
      <c r="F340" s="9"/>
      <c r="G340" s="9"/>
      <c r="H340" s="9"/>
      <c r="I340" s="9"/>
      <c r="J34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41" spans="1:10" x14ac:dyDescent="0.35">
      <c r="A341" s="9"/>
      <c r="B341" s="9"/>
      <c r="C341" s="9"/>
      <c r="D341" s="9"/>
      <c r="E341" s="9"/>
      <c r="F341" s="9"/>
      <c r="G341" s="9"/>
      <c r="H341" s="9"/>
      <c r="I341" s="9"/>
      <c r="J34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42" spans="1:10" x14ac:dyDescent="0.35">
      <c r="A342" s="9"/>
      <c r="B342" s="9"/>
      <c r="C342" s="9"/>
      <c r="D342" s="9"/>
      <c r="E342" s="9"/>
      <c r="F342" s="9"/>
      <c r="G342" s="9"/>
      <c r="H342" s="9"/>
      <c r="I342" s="9"/>
      <c r="J34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43" spans="1:10" x14ac:dyDescent="0.35">
      <c r="A343" s="9"/>
      <c r="B343" s="9"/>
      <c r="C343" s="9"/>
      <c r="D343" s="9"/>
      <c r="E343" s="9"/>
      <c r="F343" s="9"/>
      <c r="G343" s="9"/>
      <c r="H343" s="9"/>
      <c r="I343" s="9"/>
      <c r="J34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44" spans="1:10" x14ac:dyDescent="0.35">
      <c r="A344" s="9"/>
      <c r="B344" s="9"/>
      <c r="C344" s="9"/>
      <c r="D344" s="9"/>
      <c r="E344" s="9"/>
      <c r="F344" s="9"/>
      <c r="G344" s="9"/>
      <c r="H344" s="9"/>
      <c r="I344" s="9"/>
      <c r="J34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45" spans="1:10" x14ac:dyDescent="0.35">
      <c r="A345" s="9"/>
      <c r="B345" s="9"/>
      <c r="C345" s="9"/>
      <c r="D345" s="9"/>
      <c r="E345" s="9"/>
      <c r="F345" s="9"/>
      <c r="G345" s="9"/>
      <c r="H345" s="9"/>
      <c r="I345" s="9"/>
      <c r="J34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46" spans="1:10" x14ac:dyDescent="0.35">
      <c r="A346" s="9"/>
      <c r="B346" s="9"/>
      <c r="C346" s="9"/>
      <c r="D346" s="9"/>
      <c r="E346" s="9"/>
      <c r="F346" s="9"/>
      <c r="G346" s="9"/>
      <c r="H346" s="9"/>
      <c r="I346" s="9"/>
      <c r="J34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47" spans="1:10" x14ac:dyDescent="0.35">
      <c r="A347" s="9"/>
      <c r="B347" s="9"/>
      <c r="C347" s="9"/>
      <c r="D347" s="9"/>
      <c r="E347" s="9"/>
      <c r="F347" s="9"/>
      <c r="G347" s="9"/>
      <c r="H347" s="9"/>
      <c r="I347" s="9"/>
      <c r="J34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48" spans="1:10" x14ac:dyDescent="0.35">
      <c r="A348" s="9"/>
      <c r="B348" s="9"/>
      <c r="C348" s="9"/>
      <c r="D348" s="9"/>
      <c r="E348" s="9"/>
      <c r="F348" s="9"/>
      <c r="G348" s="9"/>
      <c r="H348" s="9"/>
      <c r="I348" s="9"/>
      <c r="J34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49" spans="1:10" x14ac:dyDescent="0.35">
      <c r="A349" s="9"/>
      <c r="B349" s="9"/>
      <c r="C349" s="9"/>
      <c r="D349" s="9"/>
      <c r="E349" s="9"/>
      <c r="F349" s="9"/>
      <c r="G349" s="9"/>
      <c r="H349" s="9"/>
      <c r="I349" s="9"/>
      <c r="J34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50" spans="1:10" x14ac:dyDescent="0.35">
      <c r="A350" s="9"/>
      <c r="B350" s="9"/>
      <c r="C350" s="9"/>
      <c r="D350" s="9"/>
      <c r="E350" s="9"/>
      <c r="F350" s="9"/>
      <c r="G350" s="9"/>
      <c r="H350" s="9"/>
      <c r="I350" s="9"/>
      <c r="J35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51" spans="1:10" x14ac:dyDescent="0.35">
      <c r="A351" s="9"/>
      <c r="B351" s="9"/>
      <c r="C351" s="9"/>
      <c r="D351" s="9"/>
      <c r="E351" s="9"/>
      <c r="F351" s="9"/>
      <c r="G351" s="9"/>
      <c r="H351" s="9"/>
      <c r="I351" s="9"/>
      <c r="J35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52" spans="1:10" x14ac:dyDescent="0.35">
      <c r="A352" s="9"/>
      <c r="B352" s="9"/>
      <c r="C352" s="9"/>
      <c r="D352" s="9"/>
      <c r="E352" s="9"/>
      <c r="F352" s="9"/>
      <c r="G352" s="9"/>
      <c r="H352" s="9"/>
      <c r="I352" s="9"/>
      <c r="J35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53" spans="1:10" x14ac:dyDescent="0.35">
      <c r="A353" s="9"/>
      <c r="B353" s="9"/>
      <c r="C353" s="9"/>
      <c r="D353" s="9"/>
      <c r="E353" s="9"/>
      <c r="F353" s="9"/>
      <c r="G353" s="9"/>
      <c r="H353" s="9"/>
      <c r="I353" s="9"/>
      <c r="J35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54" spans="1:10" x14ac:dyDescent="0.35">
      <c r="A354" s="9"/>
      <c r="B354" s="9"/>
      <c r="C354" s="9"/>
      <c r="D354" s="9"/>
      <c r="E354" s="9"/>
      <c r="F354" s="9"/>
      <c r="G354" s="9"/>
      <c r="H354" s="9"/>
      <c r="I354" s="9"/>
      <c r="J35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55" spans="1:10" x14ac:dyDescent="0.35">
      <c r="A355" s="9"/>
      <c r="B355" s="9"/>
      <c r="C355" s="9"/>
      <c r="D355" s="9"/>
      <c r="E355" s="9"/>
      <c r="F355" s="9"/>
      <c r="G355" s="9"/>
      <c r="H355" s="9"/>
      <c r="I355" s="9"/>
      <c r="J35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56" spans="1:10" x14ac:dyDescent="0.35">
      <c r="A356" s="9"/>
      <c r="B356" s="9"/>
      <c r="C356" s="9"/>
      <c r="D356" s="9"/>
      <c r="E356" s="9"/>
      <c r="F356" s="9"/>
      <c r="G356" s="9"/>
      <c r="H356" s="9"/>
      <c r="I356" s="9"/>
      <c r="J35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57" spans="1:10" x14ac:dyDescent="0.35">
      <c r="A357" s="9"/>
      <c r="B357" s="9"/>
      <c r="C357" s="9"/>
      <c r="D357" s="9"/>
      <c r="E357" s="9"/>
      <c r="F357" s="9"/>
      <c r="G357" s="9"/>
      <c r="H357" s="9"/>
      <c r="I357" s="9"/>
      <c r="J35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58" spans="1:10" x14ac:dyDescent="0.35">
      <c r="A358" s="9"/>
      <c r="B358" s="9"/>
      <c r="C358" s="9"/>
      <c r="D358" s="9"/>
      <c r="E358" s="9"/>
      <c r="F358" s="9"/>
      <c r="G358" s="9"/>
      <c r="H358" s="9"/>
      <c r="I358" s="9"/>
      <c r="J35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59" spans="1:10" x14ac:dyDescent="0.35">
      <c r="A359" s="9"/>
      <c r="B359" s="9"/>
      <c r="C359" s="9"/>
      <c r="D359" s="9"/>
      <c r="E359" s="9"/>
      <c r="F359" s="9"/>
      <c r="G359" s="9"/>
      <c r="H359" s="9"/>
      <c r="I359" s="9"/>
      <c r="J35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60" spans="1:10" x14ac:dyDescent="0.35">
      <c r="A360" s="9"/>
      <c r="B360" s="9"/>
      <c r="C360" s="9"/>
      <c r="D360" s="9"/>
      <c r="E360" s="9"/>
      <c r="F360" s="9"/>
      <c r="G360" s="9"/>
      <c r="H360" s="9"/>
      <c r="I360" s="9"/>
      <c r="J36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61" spans="1:10" x14ac:dyDescent="0.35">
      <c r="A361" s="9"/>
      <c r="B361" s="9"/>
      <c r="C361" s="9"/>
      <c r="D361" s="9"/>
      <c r="E361" s="9"/>
      <c r="F361" s="9"/>
      <c r="G361" s="9"/>
      <c r="H361" s="9"/>
      <c r="I361" s="9"/>
      <c r="J36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62" spans="1:10" x14ac:dyDescent="0.35">
      <c r="A362" s="9"/>
      <c r="B362" s="9"/>
      <c r="C362" s="9"/>
      <c r="D362" s="9"/>
      <c r="E362" s="9"/>
      <c r="F362" s="9"/>
      <c r="G362" s="9"/>
      <c r="H362" s="9"/>
      <c r="I362" s="9"/>
      <c r="J36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63" spans="1:10" x14ac:dyDescent="0.35">
      <c r="A363" s="9"/>
      <c r="B363" s="9"/>
      <c r="C363" s="9"/>
      <c r="D363" s="9"/>
      <c r="E363" s="9"/>
      <c r="F363" s="9"/>
      <c r="G363" s="9"/>
      <c r="H363" s="9"/>
      <c r="I363" s="9"/>
      <c r="J36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64" spans="1:10" x14ac:dyDescent="0.35">
      <c r="A364" s="9"/>
      <c r="B364" s="9"/>
      <c r="C364" s="9"/>
      <c r="D364" s="9"/>
      <c r="E364" s="9"/>
      <c r="F364" s="9"/>
      <c r="G364" s="9"/>
      <c r="H364" s="9"/>
      <c r="I364" s="9"/>
      <c r="J36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65" spans="1:10" x14ac:dyDescent="0.35">
      <c r="A365" s="9"/>
      <c r="B365" s="9"/>
      <c r="C365" s="9"/>
      <c r="D365" s="9"/>
      <c r="E365" s="9"/>
      <c r="F365" s="9"/>
      <c r="G365" s="9"/>
      <c r="H365" s="9"/>
      <c r="I365" s="9"/>
      <c r="J36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66" spans="1:10" x14ac:dyDescent="0.35">
      <c r="A366" s="9"/>
      <c r="B366" s="9"/>
      <c r="C366" s="9"/>
      <c r="D366" s="9"/>
      <c r="E366" s="9"/>
      <c r="F366" s="9"/>
      <c r="G366" s="9"/>
      <c r="H366" s="9"/>
      <c r="I366" s="9"/>
      <c r="J36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67" spans="1:10" x14ac:dyDescent="0.35">
      <c r="A367" s="9"/>
      <c r="B367" s="9"/>
      <c r="C367" s="9"/>
      <c r="D367" s="9"/>
      <c r="E367" s="9"/>
      <c r="F367" s="9"/>
      <c r="G367" s="9"/>
      <c r="H367" s="9"/>
      <c r="I367" s="9"/>
      <c r="J36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68" spans="1:10" x14ac:dyDescent="0.35">
      <c r="A368" s="9"/>
      <c r="B368" s="9"/>
      <c r="C368" s="9"/>
      <c r="D368" s="9"/>
      <c r="E368" s="9"/>
      <c r="F368" s="9"/>
      <c r="G368" s="9"/>
      <c r="H368" s="9"/>
      <c r="I368" s="9"/>
      <c r="J36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69" spans="1:10" x14ac:dyDescent="0.35">
      <c r="A369" s="9"/>
      <c r="B369" s="9"/>
      <c r="C369" s="9"/>
      <c r="D369" s="9"/>
      <c r="E369" s="9"/>
      <c r="F369" s="9"/>
      <c r="G369" s="9"/>
      <c r="H369" s="9"/>
      <c r="I369" s="9"/>
      <c r="J36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70" spans="1:10" x14ac:dyDescent="0.35">
      <c r="A370" s="9"/>
      <c r="B370" s="9"/>
      <c r="C370" s="9"/>
      <c r="D370" s="9"/>
      <c r="E370" s="9"/>
      <c r="F370" s="9"/>
      <c r="G370" s="9"/>
      <c r="H370" s="9"/>
      <c r="I370" s="9"/>
      <c r="J37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71" spans="1:10" x14ac:dyDescent="0.35">
      <c r="A371" s="9"/>
      <c r="B371" s="9"/>
      <c r="C371" s="9"/>
      <c r="D371" s="9"/>
      <c r="E371" s="9"/>
      <c r="F371" s="9"/>
      <c r="G371" s="9"/>
      <c r="H371" s="9"/>
      <c r="I371" s="9"/>
      <c r="J37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72" spans="1:10" x14ac:dyDescent="0.35">
      <c r="A372" s="9"/>
      <c r="B372" s="9"/>
      <c r="C372" s="9"/>
      <c r="D372" s="9"/>
      <c r="E372" s="9"/>
      <c r="F372" s="9"/>
      <c r="G372" s="9"/>
      <c r="H372" s="9"/>
      <c r="I372" s="9"/>
      <c r="J37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73" spans="1:10" x14ac:dyDescent="0.35">
      <c r="A373" s="9"/>
      <c r="B373" s="9"/>
      <c r="C373" s="9"/>
      <c r="D373" s="9"/>
      <c r="E373" s="9"/>
      <c r="F373" s="9"/>
      <c r="G373" s="9"/>
      <c r="H373" s="9"/>
      <c r="I373" s="9"/>
      <c r="J37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74" spans="1:10" x14ac:dyDescent="0.35">
      <c r="A374" s="9"/>
      <c r="B374" s="9"/>
      <c r="C374" s="9"/>
      <c r="D374" s="9"/>
      <c r="E374" s="9"/>
      <c r="F374" s="9"/>
      <c r="G374" s="9"/>
      <c r="H374" s="9"/>
      <c r="I374" s="9"/>
      <c r="J37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75" spans="1:10" x14ac:dyDescent="0.35">
      <c r="A375" s="9"/>
      <c r="B375" s="9"/>
      <c r="C375" s="9"/>
      <c r="D375" s="9"/>
      <c r="E375" s="9"/>
      <c r="F375" s="9"/>
      <c r="G375" s="9"/>
      <c r="H375" s="9"/>
      <c r="I375" s="9"/>
      <c r="J37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76" spans="1:10" x14ac:dyDescent="0.35">
      <c r="A376" s="9"/>
      <c r="B376" s="9"/>
      <c r="C376" s="9"/>
      <c r="D376" s="9"/>
      <c r="E376" s="9"/>
      <c r="F376" s="9"/>
      <c r="G376" s="9"/>
      <c r="H376" s="9"/>
      <c r="I376" s="9"/>
      <c r="J37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77" spans="1:10" x14ac:dyDescent="0.35">
      <c r="A377" s="9"/>
      <c r="B377" s="9"/>
      <c r="C377" s="9"/>
      <c r="D377" s="9"/>
      <c r="E377" s="9"/>
      <c r="F377" s="9"/>
      <c r="G377" s="9"/>
      <c r="H377" s="9"/>
      <c r="I377" s="9"/>
      <c r="J37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78" spans="1:10" x14ac:dyDescent="0.35">
      <c r="A378" s="9"/>
      <c r="B378" s="9"/>
      <c r="C378" s="9"/>
      <c r="D378" s="9"/>
      <c r="E378" s="9"/>
      <c r="F378" s="9"/>
      <c r="G378" s="9"/>
      <c r="H378" s="9"/>
      <c r="I378" s="9"/>
      <c r="J37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79" spans="1:10" x14ac:dyDescent="0.35">
      <c r="A379" s="9"/>
      <c r="B379" s="9"/>
      <c r="C379" s="9"/>
      <c r="D379" s="9"/>
      <c r="E379" s="9"/>
      <c r="F379" s="9"/>
      <c r="G379" s="9"/>
      <c r="H379" s="9"/>
      <c r="I379" s="9"/>
      <c r="J37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80" spans="1:10" x14ac:dyDescent="0.35">
      <c r="A380" s="9"/>
      <c r="B380" s="9"/>
      <c r="C380" s="9"/>
      <c r="D380" s="9"/>
      <c r="E380" s="9"/>
      <c r="F380" s="9"/>
      <c r="G380" s="9"/>
      <c r="H380" s="9"/>
      <c r="I380" s="9"/>
      <c r="J38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81" spans="1:10" x14ac:dyDescent="0.35">
      <c r="A381" s="9"/>
      <c r="B381" s="9"/>
      <c r="C381" s="9"/>
      <c r="D381" s="9"/>
      <c r="E381" s="9"/>
      <c r="F381" s="9"/>
      <c r="G381" s="9"/>
      <c r="H381" s="9"/>
      <c r="I381" s="9"/>
      <c r="J38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82" spans="1:10" x14ac:dyDescent="0.35">
      <c r="A382" s="9"/>
      <c r="B382" s="9"/>
      <c r="C382" s="9"/>
      <c r="D382" s="9"/>
      <c r="E382" s="9"/>
      <c r="F382" s="9"/>
      <c r="G382" s="9"/>
      <c r="H382" s="9"/>
      <c r="I382" s="9"/>
      <c r="J38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83" spans="1:10" x14ac:dyDescent="0.35">
      <c r="A383" s="9"/>
      <c r="B383" s="9"/>
      <c r="C383" s="9"/>
      <c r="D383" s="9"/>
      <c r="E383" s="9"/>
      <c r="F383" s="9"/>
      <c r="G383" s="9"/>
      <c r="H383" s="9"/>
      <c r="I383" s="9"/>
      <c r="J38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84" spans="1:10" x14ac:dyDescent="0.35">
      <c r="A384" s="9"/>
      <c r="B384" s="9"/>
      <c r="C384" s="9"/>
      <c r="D384" s="9"/>
      <c r="E384" s="9"/>
      <c r="F384" s="9"/>
      <c r="G384" s="9"/>
      <c r="H384" s="9"/>
      <c r="I384" s="9"/>
      <c r="J38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85" spans="1:10" x14ac:dyDescent="0.35">
      <c r="A385" s="9"/>
      <c r="B385" s="9"/>
      <c r="C385" s="9"/>
      <c r="D385" s="9"/>
      <c r="E385" s="9"/>
      <c r="F385" s="9"/>
      <c r="G385" s="9"/>
      <c r="H385" s="9"/>
      <c r="I385" s="9"/>
      <c r="J38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86" spans="1:10" x14ac:dyDescent="0.35">
      <c r="A386" s="9"/>
      <c r="B386" s="9"/>
      <c r="C386" s="9"/>
      <c r="D386" s="9"/>
      <c r="E386" s="9"/>
      <c r="F386" s="9"/>
      <c r="G386" s="9"/>
      <c r="H386" s="9"/>
      <c r="I386" s="9"/>
      <c r="J38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87" spans="1:10" x14ac:dyDescent="0.35">
      <c r="A387" s="9"/>
      <c r="B387" s="9"/>
      <c r="C387" s="9"/>
      <c r="D387" s="9"/>
      <c r="E387" s="9"/>
      <c r="F387" s="9"/>
      <c r="G387" s="9"/>
      <c r="H387" s="9"/>
      <c r="I387" s="9"/>
      <c r="J38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88" spans="1:10" x14ac:dyDescent="0.35">
      <c r="A388" s="9"/>
      <c r="B388" s="9"/>
      <c r="C388" s="9"/>
      <c r="D388" s="9"/>
      <c r="E388" s="9"/>
      <c r="F388" s="9"/>
      <c r="G388" s="9"/>
      <c r="H388" s="9"/>
      <c r="I388" s="9"/>
      <c r="J38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89" spans="1:10" x14ac:dyDescent="0.35">
      <c r="A389" s="9"/>
      <c r="B389" s="9"/>
      <c r="C389" s="9"/>
      <c r="D389" s="9"/>
      <c r="E389" s="9"/>
      <c r="F389" s="9"/>
      <c r="G389" s="9"/>
      <c r="H389" s="9"/>
      <c r="I389" s="9"/>
      <c r="J38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90" spans="1:10" x14ac:dyDescent="0.35">
      <c r="A390" s="9"/>
      <c r="B390" s="9"/>
      <c r="C390" s="9"/>
      <c r="D390" s="9"/>
      <c r="E390" s="9"/>
      <c r="F390" s="9"/>
      <c r="G390" s="9"/>
      <c r="H390" s="9"/>
      <c r="I390" s="9"/>
      <c r="J39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91" spans="1:10" x14ac:dyDescent="0.35">
      <c r="A391" s="9"/>
      <c r="B391" s="9"/>
      <c r="C391" s="9"/>
      <c r="D391" s="9"/>
      <c r="E391" s="9"/>
      <c r="F391" s="9"/>
      <c r="G391" s="9"/>
      <c r="H391" s="9"/>
      <c r="I391" s="9"/>
      <c r="J39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92" spans="1:10" x14ac:dyDescent="0.35">
      <c r="A392" s="9"/>
      <c r="B392" s="9"/>
      <c r="C392" s="9"/>
      <c r="D392" s="9"/>
      <c r="E392" s="9"/>
      <c r="F392" s="9"/>
      <c r="G392" s="9"/>
      <c r="H392" s="9"/>
      <c r="I392" s="9"/>
      <c r="J39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93" spans="1:10" x14ac:dyDescent="0.35">
      <c r="A393" s="9"/>
      <c r="B393" s="9"/>
      <c r="C393" s="9"/>
      <c r="D393" s="9"/>
      <c r="E393" s="9"/>
      <c r="F393" s="9"/>
      <c r="G393" s="9"/>
      <c r="H393" s="9"/>
      <c r="I393" s="9"/>
      <c r="J39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94" spans="1:10" x14ac:dyDescent="0.35">
      <c r="A394" s="9"/>
      <c r="B394" s="9"/>
      <c r="C394" s="9"/>
      <c r="D394" s="9"/>
      <c r="E394" s="9"/>
      <c r="F394" s="9"/>
      <c r="G394" s="9"/>
      <c r="H394" s="9"/>
      <c r="I394" s="9"/>
      <c r="J39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95" spans="1:10" x14ac:dyDescent="0.35">
      <c r="A395" s="9"/>
      <c r="B395" s="9"/>
      <c r="C395" s="9"/>
      <c r="D395" s="9"/>
      <c r="E395" s="9"/>
      <c r="F395" s="9"/>
      <c r="G395" s="9"/>
      <c r="H395" s="9"/>
      <c r="I395" s="9"/>
      <c r="J39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96" spans="1:10" x14ac:dyDescent="0.35">
      <c r="A396" s="9"/>
      <c r="B396" s="9"/>
      <c r="C396" s="9"/>
      <c r="D396" s="9"/>
      <c r="E396" s="9"/>
      <c r="F396" s="9"/>
      <c r="G396" s="9"/>
      <c r="H396" s="9"/>
      <c r="I396" s="9"/>
      <c r="J39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97" spans="1:10" x14ac:dyDescent="0.35">
      <c r="A397" s="9"/>
      <c r="B397" s="9"/>
      <c r="C397" s="9"/>
      <c r="D397" s="9"/>
      <c r="E397" s="9"/>
      <c r="F397" s="9"/>
      <c r="G397" s="9"/>
      <c r="H397" s="9"/>
      <c r="I397" s="9"/>
      <c r="J39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98" spans="1:10" x14ac:dyDescent="0.35">
      <c r="A398" s="9"/>
      <c r="B398" s="9"/>
      <c r="C398" s="9"/>
      <c r="D398" s="9"/>
      <c r="E398" s="9"/>
      <c r="F398" s="9"/>
      <c r="G398" s="9"/>
      <c r="H398" s="9"/>
      <c r="I398" s="9"/>
      <c r="J39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399" spans="1:10" x14ac:dyDescent="0.35">
      <c r="A399" s="9"/>
      <c r="B399" s="9"/>
      <c r="C399" s="9"/>
      <c r="D399" s="9"/>
      <c r="E399" s="9"/>
      <c r="F399" s="9"/>
      <c r="G399" s="9"/>
      <c r="H399" s="9"/>
      <c r="I399" s="9"/>
      <c r="J39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00" spans="1:10" x14ac:dyDescent="0.35">
      <c r="A400" s="9"/>
      <c r="B400" s="9"/>
      <c r="C400" s="9"/>
      <c r="D400" s="9"/>
      <c r="E400" s="9"/>
      <c r="F400" s="9"/>
      <c r="G400" s="9"/>
      <c r="H400" s="9"/>
      <c r="I400" s="9"/>
      <c r="J40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01" spans="1:10" x14ac:dyDescent="0.35">
      <c r="A401" s="9"/>
      <c r="B401" s="9"/>
      <c r="C401" s="9"/>
      <c r="D401" s="9"/>
      <c r="E401" s="9"/>
      <c r="F401" s="9"/>
      <c r="G401" s="9"/>
      <c r="H401" s="9"/>
      <c r="I401" s="9"/>
      <c r="J40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02" spans="1:10" x14ac:dyDescent="0.35">
      <c r="A402" s="9"/>
      <c r="B402" s="9"/>
      <c r="C402" s="9"/>
      <c r="D402" s="9"/>
      <c r="E402" s="9"/>
      <c r="F402" s="9"/>
      <c r="G402" s="9"/>
      <c r="H402" s="9"/>
      <c r="I402" s="9"/>
      <c r="J40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03" spans="1:10" x14ac:dyDescent="0.35">
      <c r="A403" s="9"/>
      <c r="B403" s="9"/>
      <c r="C403" s="9"/>
      <c r="D403" s="9"/>
      <c r="E403" s="9"/>
      <c r="F403" s="9"/>
      <c r="G403" s="9"/>
      <c r="H403" s="9"/>
      <c r="I403" s="9"/>
      <c r="J40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04" spans="1:10" x14ac:dyDescent="0.35">
      <c r="A404" s="9"/>
      <c r="B404" s="9"/>
      <c r="C404" s="9"/>
      <c r="D404" s="9"/>
      <c r="E404" s="9"/>
      <c r="F404" s="9"/>
      <c r="G404" s="9"/>
      <c r="H404" s="9"/>
      <c r="I404" s="9"/>
      <c r="J40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05" spans="1:10" x14ac:dyDescent="0.35">
      <c r="A405" s="9"/>
      <c r="B405" s="9"/>
      <c r="C405" s="9"/>
      <c r="D405" s="9"/>
      <c r="E405" s="9"/>
      <c r="F405" s="9"/>
      <c r="G405" s="9"/>
      <c r="H405" s="9"/>
      <c r="I405" s="9"/>
      <c r="J40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06" spans="1:10" x14ac:dyDescent="0.35">
      <c r="A406" s="9"/>
      <c r="B406" s="9"/>
      <c r="C406" s="9"/>
      <c r="D406" s="9"/>
      <c r="E406" s="9"/>
      <c r="F406" s="9"/>
      <c r="G406" s="9"/>
      <c r="H406" s="9"/>
      <c r="I406" s="9"/>
      <c r="J40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07" spans="1:10" x14ac:dyDescent="0.35">
      <c r="A407" s="9"/>
      <c r="B407" s="9"/>
      <c r="C407" s="9"/>
      <c r="D407" s="9"/>
      <c r="E407" s="9"/>
      <c r="F407" s="9"/>
      <c r="G407" s="9"/>
      <c r="H407" s="9"/>
      <c r="I407" s="9"/>
      <c r="J40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08" spans="1:10" x14ac:dyDescent="0.35">
      <c r="A408" s="9"/>
      <c r="B408" s="9"/>
      <c r="C408" s="9"/>
      <c r="D408" s="9"/>
      <c r="E408" s="9"/>
      <c r="F408" s="9"/>
      <c r="G408" s="9"/>
      <c r="H408" s="9"/>
      <c r="I408" s="9"/>
      <c r="J40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09" spans="1:10" x14ac:dyDescent="0.35">
      <c r="A409" s="9"/>
      <c r="B409" s="9"/>
      <c r="C409" s="9"/>
      <c r="D409" s="9"/>
      <c r="E409" s="9"/>
      <c r="F409" s="9"/>
      <c r="G409" s="9"/>
      <c r="H409" s="9"/>
      <c r="I409" s="9"/>
      <c r="J40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10" spans="1:10" x14ac:dyDescent="0.35">
      <c r="A410" s="9"/>
      <c r="B410" s="9"/>
      <c r="C410" s="9"/>
      <c r="D410" s="9"/>
      <c r="E410" s="9"/>
      <c r="F410" s="9"/>
      <c r="G410" s="9"/>
      <c r="H410" s="9"/>
      <c r="I410" s="9"/>
      <c r="J41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11" spans="1:10" x14ac:dyDescent="0.35">
      <c r="A411" s="9"/>
      <c r="B411" s="9"/>
      <c r="C411" s="9"/>
      <c r="D411" s="9"/>
      <c r="E411" s="9"/>
      <c r="F411" s="9"/>
      <c r="G411" s="9"/>
      <c r="H411" s="9"/>
      <c r="I411" s="9"/>
      <c r="J41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12" spans="1:10" x14ac:dyDescent="0.35">
      <c r="A412" s="9"/>
      <c r="B412" s="9"/>
      <c r="C412" s="9"/>
      <c r="D412" s="9"/>
      <c r="E412" s="9"/>
      <c r="F412" s="9"/>
      <c r="G412" s="9"/>
      <c r="H412" s="9"/>
      <c r="I412" s="9"/>
      <c r="J41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13" spans="1:10" x14ac:dyDescent="0.35">
      <c r="A413" s="9"/>
      <c r="B413" s="9"/>
      <c r="C413" s="9"/>
      <c r="D413" s="9"/>
      <c r="E413" s="9"/>
      <c r="F413" s="9"/>
      <c r="G413" s="9"/>
      <c r="H413" s="9"/>
      <c r="I413" s="9"/>
      <c r="J41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14" spans="1:10" x14ac:dyDescent="0.35">
      <c r="A414" s="9"/>
      <c r="B414" s="9"/>
      <c r="C414" s="9"/>
      <c r="D414" s="9"/>
      <c r="E414" s="9"/>
      <c r="F414" s="9"/>
      <c r="G414" s="9"/>
      <c r="H414" s="9"/>
      <c r="I414" s="9"/>
      <c r="J41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15" spans="1:10" x14ac:dyDescent="0.35">
      <c r="A415" s="9"/>
      <c r="B415" s="9"/>
      <c r="C415" s="9"/>
      <c r="D415" s="9"/>
      <c r="E415" s="9"/>
      <c r="F415" s="9"/>
      <c r="G415" s="9"/>
      <c r="H415" s="9"/>
      <c r="I415" s="9"/>
      <c r="J41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16" spans="1:10" x14ac:dyDescent="0.35">
      <c r="A416" s="9"/>
      <c r="B416" s="9"/>
      <c r="C416" s="9"/>
      <c r="D416" s="9"/>
      <c r="E416" s="9"/>
      <c r="F416" s="9"/>
      <c r="G416" s="9"/>
      <c r="H416" s="9"/>
      <c r="I416" s="9"/>
      <c r="J41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17" spans="1:10" x14ac:dyDescent="0.35">
      <c r="A417" s="9"/>
      <c r="B417" s="9"/>
      <c r="C417" s="9"/>
      <c r="D417" s="9"/>
      <c r="E417" s="9"/>
      <c r="F417" s="9"/>
      <c r="G417" s="9"/>
      <c r="H417" s="9"/>
      <c r="I417" s="9"/>
      <c r="J41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18" spans="1:10" x14ac:dyDescent="0.35">
      <c r="A418" s="9"/>
      <c r="B418" s="9"/>
      <c r="C418" s="9"/>
      <c r="D418" s="9"/>
      <c r="E418" s="9"/>
      <c r="F418" s="9"/>
      <c r="G418" s="9"/>
      <c r="H418" s="9"/>
      <c r="I418" s="9"/>
      <c r="J41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19" spans="1:10" x14ac:dyDescent="0.35">
      <c r="A419" s="9"/>
      <c r="B419" s="9"/>
      <c r="C419" s="9"/>
      <c r="D419" s="9"/>
      <c r="E419" s="9"/>
      <c r="F419" s="9"/>
      <c r="G419" s="9"/>
      <c r="H419" s="9"/>
      <c r="I419" s="9"/>
      <c r="J41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20" spans="1:10" x14ac:dyDescent="0.35">
      <c r="A420" s="9"/>
      <c r="B420" s="9"/>
      <c r="C420" s="9"/>
      <c r="D420" s="9"/>
      <c r="E420" s="9"/>
      <c r="F420" s="9"/>
      <c r="G420" s="9"/>
      <c r="H420" s="9"/>
      <c r="I420" s="9"/>
      <c r="J42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21" spans="1:10" x14ac:dyDescent="0.35">
      <c r="A421" s="9"/>
      <c r="B421" s="9"/>
      <c r="C421" s="9"/>
      <c r="D421" s="9"/>
      <c r="E421" s="9"/>
      <c r="F421" s="9"/>
      <c r="G421" s="9"/>
      <c r="H421" s="9"/>
      <c r="I421" s="9"/>
      <c r="J42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22" spans="1:10" x14ac:dyDescent="0.35">
      <c r="A422" s="9"/>
      <c r="B422" s="9"/>
      <c r="C422" s="9"/>
      <c r="D422" s="9"/>
      <c r="E422" s="9"/>
      <c r="F422" s="9"/>
      <c r="G422" s="9"/>
      <c r="H422" s="9"/>
      <c r="I422" s="9"/>
      <c r="J42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23" spans="1:10" x14ac:dyDescent="0.35">
      <c r="A423" s="9"/>
      <c r="B423" s="9"/>
      <c r="C423" s="9"/>
      <c r="D423" s="9"/>
      <c r="E423" s="9"/>
      <c r="F423" s="9"/>
      <c r="G423" s="9"/>
      <c r="H423" s="9"/>
      <c r="I423" s="9"/>
      <c r="J42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24" spans="1:10" x14ac:dyDescent="0.35">
      <c r="A424" s="9"/>
      <c r="B424" s="9"/>
      <c r="C424" s="9"/>
      <c r="D424" s="9"/>
      <c r="E424" s="9"/>
      <c r="F424" s="9"/>
      <c r="G424" s="9"/>
      <c r="H424" s="9"/>
      <c r="I424" s="9"/>
      <c r="J42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25" spans="1:10" x14ac:dyDescent="0.35">
      <c r="A425" s="9"/>
      <c r="B425" s="9"/>
      <c r="C425" s="9"/>
      <c r="D425" s="9"/>
      <c r="E425" s="9"/>
      <c r="F425" s="9"/>
      <c r="G425" s="9"/>
      <c r="H425" s="9"/>
      <c r="I425" s="9"/>
      <c r="J42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26" spans="1:10" x14ac:dyDescent="0.35">
      <c r="A426" s="9"/>
      <c r="B426" s="9"/>
      <c r="C426" s="9"/>
      <c r="D426" s="9"/>
      <c r="E426" s="9"/>
      <c r="F426" s="9"/>
      <c r="G426" s="9"/>
      <c r="H426" s="9"/>
      <c r="I426" s="9"/>
      <c r="J42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27" spans="1:10" x14ac:dyDescent="0.35">
      <c r="A427" s="9"/>
      <c r="B427" s="9"/>
      <c r="C427" s="9"/>
      <c r="D427" s="9"/>
      <c r="E427" s="9"/>
      <c r="F427" s="9"/>
      <c r="G427" s="9"/>
      <c r="H427" s="9"/>
      <c r="I427" s="9"/>
      <c r="J42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28" spans="1:10" x14ac:dyDescent="0.35">
      <c r="A428" s="9"/>
      <c r="B428" s="9"/>
      <c r="C428" s="9"/>
      <c r="D428" s="9"/>
      <c r="E428" s="9"/>
      <c r="F428" s="9"/>
      <c r="G428" s="9"/>
      <c r="H428" s="9"/>
      <c r="I428" s="9"/>
      <c r="J42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29" spans="1:10" x14ac:dyDescent="0.35">
      <c r="A429" s="9"/>
      <c r="B429" s="9"/>
      <c r="C429" s="9"/>
      <c r="D429" s="9"/>
      <c r="E429" s="9"/>
      <c r="F429" s="9"/>
      <c r="G429" s="9"/>
      <c r="H429" s="9"/>
      <c r="I429" s="9"/>
      <c r="J42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30" spans="1:10" x14ac:dyDescent="0.35">
      <c r="A430" s="9"/>
      <c r="B430" s="9"/>
      <c r="C430" s="9"/>
      <c r="D430" s="9"/>
      <c r="E430" s="9"/>
      <c r="F430" s="9"/>
      <c r="G430" s="9"/>
      <c r="H430" s="9"/>
      <c r="I430" s="9"/>
      <c r="J43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31" spans="1:10" x14ac:dyDescent="0.35">
      <c r="A431" s="9"/>
      <c r="B431" s="9"/>
      <c r="C431" s="9"/>
      <c r="D431" s="9"/>
      <c r="E431" s="9"/>
      <c r="F431" s="9"/>
      <c r="G431" s="9"/>
      <c r="H431" s="9"/>
      <c r="I431" s="9"/>
      <c r="J43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32" spans="1:10" x14ac:dyDescent="0.35">
      <c r="A432" s="9"/>
      <c r="B432" s="9"/>
      <c r="C432" s="9"/>
      <c r="D432" s="9"/>
      <c r="E432" s="9"/>
      <c r="F432" s="9"/>
      <c r="G432" s="9"/>
      <c r="H432" s="9"/>
      <c r="I432" s="9"/>
      <c r="J43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33" spans="1:10" x14ac:dyDescent="0.35">
      <c r="A433" s="9"/>
      <c r="B433" s="9"/>
      <c r="C433" s="9"/>
      <c r="D433" s="9"/>
      <c r="E433" s="9"/>
      <c r="F433" s="9"/>
      <c r="G433" s="9"/>
      <c r="H433" s="9"/>
      <c r="I433" s="9"/>
      <c r="J43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34" spans="1:10" x14ac:dyDescent="0.35">
      <c r="A434" s="9"/>
      <c r="B434" s="9"/>
      <c r="C434" s="9"/>
      <c r="D434" s="9"/>
      <c r="E434" s="9"/>
      <c r="F434" s="9"/>
      <c r="G434" s="9"/>
      <c r="H434" s="9"/>
      <c r="I434" s="9"/>
      <c r="J43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35" spans="1:10" x14ac:dyDescent="0.35">
      <c r="A435" s="9"/>
      <c r="B435" s="9"/>
      <c r="C435" s="9"/>
      <c r="D435" s="9"/>
      <c r="E435" s="9"/>
      <c r="F435" s="9"/>
      <c r="G435" s="9"/>
      <c r="H435" s="9"/>
      <c r="I435" s="9"/>
      <c r="J43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36" spans="1:10" x14ac:dyDescent="0.35">
      <c r="A436" s="9"/>
      <c r="B436" s="9"/>
      <c r="C436" s="9"/>
      <c r="D436" s="9"/>
      <c r="E436" s="9"/>
      <c r="F436" s="226"/>
      <c r="G436" s="9"/>
      <c r="H436" s="226"/>
      <c r="I436" s="9"/>
      <c r="J43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37" spans="1:10" x14ac:dyDescent="0.35">
      <c r="A437" s="9"/>
      <c r="B437" s="9"/>
      <c r="C437" s="9"/>
      <c r="D437" s="9"/>
      <c r="E437" s="9"/>
      <c r="F437" s="226"/>
      <c r="G437" s="9"/>
      <c r="H437" s="226"/>
      <c r="I437" s="9"/>
      <c r="J43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38" spans="1:10" x14ac:dyDescent="0.35">
      <c r="A438" s="9"/>
      <c r="B438" s="9"/>
      <c r="C438" s="9"/>
      <c r="D438" s="9"/>
      <c r="E438" s="9"/>
      <c r="F438" s="226"/>
      <c r="G438" s="9"/>
      <c r="H438" s="226"/>
      <c r="I438" s="9"/>
      <c r="J43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39" spans="1:10" x14ac:dyDescent="0.35">
      <c r="A439" s="9"/>
      <c r="B439" s="9"/>
      <c r="C439" s="9"/>
      <c r="D439" s="9"/>
      <c r="E439" s="9"/>
      <c r="F439" s="226"/>
      <c r="G439" s="9"/>
      <c r="H439" s="226"/>
      <c r="I439" s="9"/>
      <c r="J43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40" spans="1:10" x14ac:dyDescent="0.35">
      <c r="A440" s="9"/>
      <c r="B440" s="9"/>
      <c r="C440" s="9"/>
      <c r="D440" s="9"/>
      <c r="E440" s="9"/>
      <c r="F440" s="226"/>
      <c r="G440" s="9"/>
      <c r="H440" s="226"/>
      <c r="I440" s="9"/>
      <c r="J44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41" spans="1:10" x14ac:dyDescent="0.35">
      <c r="A441" s="9"/>
      <c r="B441" s="9"/>
      <c r="C441" s="9"/>
      <c r="D441" s="9"/>
      <c r="E441" s="9"/>
      <c r="F441" s="239"/>
      <c r="G441" s="9"/>
      <c r="H441" s="239"/>
      <c r="I441" s="9"/>
      <c r="J44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42" spans="1:10" x14ac:dyDescent="0.35">
      <c r="A442" s="9"/>
      <c r="B442" s="9"/>
      <c r="C442" s="9"/>
      <c r="D442" s="9"/>
      <c r="E442" s="9"/>
      <c r="F442" s="226"/>
      <c r="G442" s="9"/>
      <c r="H442" s="226"/>
      <c r="I442" s="9"/>
      <c r="J44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43" spans="1:10" x14ac:dyDescent="0.35">
      <c r="A443" s="9"/>
      <c r="B443" s="9"/>
      <c r="C443" s="9"/>
      <c r="D443" s="9"/>
      <c r="E443" s="9"/>
      <c r="F443" s="226"/>
      <c r="G443" s="9"/>
      <c r="H443" s="226"/>
      <c r="I443" s="9"/>
      <c r="J44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44" spans="1:10" x14ac:dyDescent="0.35">
      <c r="A444" s="9"/>
      <c r="B444" s="9"/>
      <c r="C444" s="9"/>
      <c r="D444" s="9"/>
      <c r="E444" s="9"/>
      <c r="F444" s="226"/>
      <c r="G444" s="9"/>
      <c r="H444" s="226"/>
      <c r="I444" s="9"/>
      <c r="J44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45" spans="1:10" x14ac:dyDescent="0.35">
      <c r="A445" s="9"/>
      <c r="B445" s="9"/>
      <c r="C445" s="9"/>
      <c r="D445" s="9"/>
      <c r="E445" s="9"/>
      <c r="F445" s="226"/>
      <c r="G445" s="9"/>
      <c r="H445" s="226"/>
      <c r="I445" s="9"/>
      <c r="J44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46" spans="1:10" x14ac:dyDescent="0.35">
      <c r="A446" s="9"/>
      <c r="B446" s="9"/>
      <c r="C446" s="9"/>
      <c r="D446" s="9"/>
      <c r="E446" s="9"/>
      <c r="F446" s="226"/>
      <c r="G446" s="9"/>
      <c r="H446" s="226"/>
      <c r="I446" s="9"/>
      <c r="J44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47" spans="1:10" x14ac:dyDescent="0.35">
      <c r="A447" s="9"/>
      <c r="B447" s="9"/>
      <c r="C447" s="9"/>
      <c r="D447" s="9"/>
      <c r="E447" s="9"/>
      <c r="F447" s="226"/>
      <c r="G447" s="9"/>
      <c r="H447" s="226"/>
      <c r="I447" s="9"/>
      <c r="J44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48" spans="1:10" x14ac:dyDescent="0.35">
      <c r="A448" s="9"/>
      <c r="B448" s="9"/>
      <c r="C448" s="9"/>
      <c r="D448" s="9"/>
      <c r="E448" s="9"/>
      <c r="F448" s="226"/>
      <c r="G448" s="9"/>
      <c r="H448" s="226"/>
      <c r="I448" s="9"/>
      <c r="J448"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49" spans="1:10" x14ac:dyDescent="0.35">
      <c r="A449" s="9"/>
      <c r="B449" s="9"/>
      <c r="C449" s="9"/>
      <c r="D449" s="9"/>
      <c r="E449" s="9"/>
      <c r="F449" s="226"/>
      <c r="G449" s="9"/>
      <c r="H449" s="226"/>
      <c r="I449" s="9"/>
      <c r="J449"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50" spans="1:10" x14ac:dyDescent="0.35">
      <c r="A450" s="9"/>
      <c r="B450" s="9"/>
      <c r="C450" s="9"/>
      <c r="D450" s="9"/>
      <c r="E450" s="9"/>
      <c r="F450" s="226"/>
      <c r="G450" s="9"/>
      <c r="H450" s="226"/>
      <c r="I450" s="9"/>
      <c r="J450"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51" spans="1:10" x14ac:dyDescent="0.35">
      <c r="A451" s="9"/>
      <c r="B451" s="9"/>
      <c r="C451" s="9"/>
      <c r="D451" s="9"/>
      <c r="E451" s="9"/>
      <c r="F451" s="226"/>
      <c r="G451" s="9"/>
      <c r="H451" s="226"/>
      <c r="I451" s="9"/>
      <c r="J451"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52" spans="1:10" x14ac:dyDescent="0.35">
      <c r="A452" s="9"/>
      <c r="B452" s="9"/>
      <c r="C452" s="9"/>
      <c r="D452" s="9"/>
      <c r="E452" s="9"/>
      <c r="F452" s="226"/>
      <c r="G452" s="9"/>
      <c r="H452" s="226"/>
      <c r="I452" s="9"/>
      <c r="J452"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53" spans="1:10" x14ac:dyDescent="0.35">
      <c r="A453" s="9"/>
      <c r="B453" s="9"/>
      <c r="C453" s="9"/>
      <c r="D453" s="9"/>
      <c r="E453" s="9"/>
      <c r="F453" s="226"/>
      <c r="G453" s="9"/>
      <c r="H453" s="226"/>
      <c r="I453" s="9"/>
      <c r="J453"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54" spans="1:10" x14ac:dyDescent="0.35">
      <c r="A454" s="9"/>
      <c r="B454" s="9"/>
      <c r="C454" s="9"/>
      <c r="D454" s="9"/>
      <c r="E454" s="9"/>
      <c r="F454" s="226"/>
      <c r="G454" s="9"/>
      <c r="H454" s="226"/>
      <c r="I454" s="9"/>
      <c r="J454"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55" spans="1:10" x14ac:dyDescent="0.35">
      <c r="A455" s="9"/>
      <c r="B455" s="9"/>
      <c r="C455" s="9"/>
      <c r="D455" s="9"/>
      <c r="E455" s="9"/>
      <c r="F455" s="226"/>
      <c r="G455" s="9"/>
      <c r="H455" s="226"/>
      <c r="I455" s="9"/>
      <c r="J455"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56" spans="1:10" x14ac:dyDescent="0.35">
      <c r="A456" s="9"/>
      <c r="B456" s="9"/>
      <c r="C456" s="9"/>
      <c r="D456" s="9"/>
      <c r="E456" s="9"/>
      <c r="F456" s="226"/>
      <c r="G456" s="9"/>
      <c r="H456" s="226"/>
      <c r="I456" s="9"/>
      <c r="J456"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57" spans="1:10" x14ac:dyDescent="0.35">
      <c r="A457" s="9"/>
      <c r="B457" s="9"/>
      <c r="C457" s="9"/>
      <c r="D457" s="9"/>
      <c r="E457" s="9"/>
      <c r="F457" s="226"/>
      <c r="G457" s="9"/>
      <c r="H457" s="226"/>
      <c r="I457" s="9"/>
      <c r="J457" s="513" t="str">
        <f>IF(AgeSex21[[#This Row],[Total Spending After Applying Truncation at the Member Level]]+AgeSex21[[#This Row],[Total Dollars Excluded from Spending After Applying Truncation at the Member Level]]=AgeSex21[[#This Row],[Total Spending before Truncation is Applied]], "TRUE", (AgeSex21[[#This Row],[Total Spending After Applying Truncation at the Member Level]]+AgeSex21[[#This Row],[Total Dollars Excluded from Spending After Applying Truncation at the Member Level]])-AgeSex21[[#This Row],[Total Spending before Truncation is Applied]])</f>
        <v>TRUE</v>
      </c>
    </row>
    <row r="458" spans="1:10" x14ac:dyDescent="0.35">
      <c r="A458" s="189"/>
      <c r="B458" s="542"/>
      <c r="C458" s="8"/>
      <c r="D458" s="8"/>
      <c r="E458" s="236"/>
      <c r="F458" s="226"/>
      <c r="G458" s="376"/>
      <c r="H458" s="226"/>
      <c r="I458" s="237"/>
      <c r="J458" s="9"/>
    </row>
    <row r="459" spans="1:10" x14ac:dyDescent="0.35">
      <c r="A459" s="189"/>
      <c r="B459" s="542"/>
      <c r="C459" s="8"/>
      <c r="D459" s="8"/>
      <c r="E459" s="236"/>
      <c r="F459" s="226"/>
      <c r="G459" s="376"/>
      <c r="H459" s="226"/>
      <c r="I459" s="237"/>
      <c r="J459" s="9"/>
    </row>
    <row r="460" spans="1:10" x14ac:dyDescent="0.35">
      <c r="A460" s="189"/>
      <c r="B460" s="542"/>
      <c r="C460" s="8"/>
      <c r="D460" s="8"/>
      <c r="E460" s="236"/>
      <c r="F460" s="226"/>
      <c r="G460" s="376"/>
      <c r="H460" s="226"/>
      <c r="I460" s="237"/>
      <c r="J460" s="9"/>
    </row>
    <row r="461" spans="1:10" x14ac:dyDescent="0.35">
      <c r="A461" s="189"/>
      <c r="B461" s="542"/>
      <c r="C461" s="8"/>
      <c r="D461" s="8"/>
      <c r="E461" s="236"/>
      <c r="F461" s="226"/>
      <c r="G461" s="376"/>
      <c r="H461" s="226"/>
      <c r="I461" s="237"/>
      <c r="J461" s="9"/>
    </row>
    <row r="462" spans="1:10" x14ac:dyDescent="0.35">
      <c r="A462" s="189"/>
      <c r="B462" s="542"/>
      <c r="C462" s="8"/>
      <c r="D462" s="8"/>
      <c r="E462" s="236"/>
      <c r="F462" s="226"/>
      <c r="G462" s="376"/>
      <c r="H462" s="226"/>
      <c r="I462" s="237"/>
      <c r="J462" s="9"/>
    </row>
    <row r="463" spans="1:10" x14ac:dyDescent="0.35">
      <c r="A463" s="189"/>
      <c r="B463" s="542"/>
      <c r="C463" s="8"/>
      <c r="D463" s="8"/>
      <c r="E463" s="236"/>
      <c r="F463" s="226"/>
      <c r="G463" s="376"/>
      <c r="H463" s="226"/>
      <c r="I463" s="237"/>
      <c r="J463" s="9"/>
    </row>
    <row r="464" spans="1:10" x14ac:dyDescent="0.35">
      <c r="A464" s="189"/>
      <c r="B464" s="542"/>
      <c r="C464" s="8"/>
      <c r="D464" s="8"/>
      <c r="E464" s="236"/>
      <c r="F464" s="226"/>
      <c r="G464" s="376"/>
      <c r="H464" s="226"/>
      <c r="I464" s="237"/>
      <c r="J464" s="9"/>
    </row>
    <row r="465" spans="1:10" x14ac:dyDescent="0.35">
      <c r="A465" s="189"/>
      <c r="B465" s="542"/>
      <c r="C465" s="8"/>
      <c r="D465" s="8"/>
      <c r="E465" s="236"/>
      <c r="F465" s="226"/>
      <c r="G465" s="376"/>
      <c r="H465" s="226"/>
      <c r="I465" s="237"/>
      <c r="J465" s="9"/>
    </row>
    <row r="466" spans="1:10" x14ac:dyDescent="0.35">
      <c r="A466" s="189"/>
      <c r="B466" s="542"/>
      <c r="C466" s="8"/>
      <c r="D466" s="8"/>
      <c r="E466" s="236"/>
      <c r="F466" s="226"/>
      <c r="G466" s="376"/>
      <c r="H466" s="226"/>
      <c r="I466" s="237"/>
      <c r="J466" s="9"/>
    </row>
    <row r="467" spans="1:10" x14ac:dyDescent="0.35">
      <c r="A467" s="189"/>
      <c r="B467" s="542"/>
      <c r="C467" s="8"/>
      <c r="D467" s="8"/>
      <c r="E467" s="236"/>
      <c r="F467" s="226"/>
      <c r="G467" s="376"/>
      <c r="H467" s="226"/>
      <c r="I467" s="237"/>
      <c r="J467" s="9"/>
    </row>
    <row r="468" spans="1:10" x14ac:dyDescent="0.35">
      <c r="A468" s="189"/>
      <c r="B468" s="541"/>
      <c r="C468" s="8"/>
      <c r="D468" s="8"/>
      <c r="E468" s="236"/>
      <c r="F468" s="226"/>
      <c r="G468" s="376"/>
      <c r="H468" s="226"/>
      <c r="I468" s="237"/>
      <c r="J468" s="9"/>
    </row>
    <row r="469" spans="1:10" x14ac:dyDescent="0.35">
      <c r="A469" s="189"/>
      <c r="B469" s="542"/>
      <c r="C469" s="8"/>
      <c r="D469" s="8"/>
      <c r="E469" s="236"/>
      <c r="F469" s="226"/>
      <c r="G469" s="376"/>
      <c r="H469" s="226"/>
      <c r="I469" s="237"/>
      <c r="J469" s="9"/>
    </row>
    <row r="470" spans="1:10" x14ac:dyDescent="0.35">
      <c r="A470" s="189"/>
      <c r="B470" s="542"/>
      <c r="C470" s="8"/>
      <c r="D470" s="8"/>
      <c r="E470" s="236"/>
      <c r="F470" s="226"/>
      <c r="G470" s="376"/>
      <c r="H470" s="226"/>
      <c r="I470" s="237"/>
      <c r="J470" s="9"/>
    </row>
    <row r="471" spans="1:10" x14ac:dyDescent="0.35">
      <c r="A471" s="189"/>
      <c r="B471" s="542"/>
      <c r="C471" s="8"/>
      <c r="D471" s="8"/>
      <c r="E471" s="236"/>
      <c r="F471" s="226"/>
      <c r="G471" s="376"/>
      <c r="H471" s="226"/>
      <c r="I471" s="237"/>
      <c r="J471" s="9"/>
    </row>
    <row r="472" spans="1:10" x14ac:dyDescent="0.35">
      <c r="A472" s="189"/>
      <c r="B472" s="542"/>
      <c r="C472" s="8"/>
      <c r="D472" s="8"/>
      <c r="E472" s="236"/>
      <c r="F472" s="226"/>
      <c r="G472" s="376"/>
      <c r="H472" s="226"/>
      <c r="I472" s="237"/>
      <c r="J472" s="9"/>
    </row>
    <row r="473" spans="1:10" x14ac:dyDescent="0.35">
      <c r="A473" s="189"/>
      <c r="B473" s="542"/>
      <c r="C473" s="8"/>
      <c r="D473" s="8"/>
      <c r="E473" s="236"/>
      <c r="F473" s="226"/>
      <c r="G473" s="376"/>
      <c r="H473" s="226"/>
      <c r="I473" s="237"/>
      <c r="J473" s="9"/>
    </row>
    <row r="474" spans="1:10" x14ac:dyDescent="0.35">
      <c r="A474" s="189"/>
      <c r="B474" s="542"/>
      <c r="C474" s="8"/>
      <c r="D474" s="8"/>
      <c r="E474" s="236"/>
      <c r="F474" s="226"/>
      <c r="G474" s="376"/>
      <c r="H474" s="226"/>
      <c r="I474" s="237"/>
      <c r="J474" s="9"/>
    </row>
    <row r="475" spans="1:10" x14ac:dyDescent="0.35">
      <c r="A475" s="189"/>
      <c r="B475" s="542"/>
      <c r="C475" s="8"/>
      <c r="D475" s="8"/>
      <c r="E475" s="236"/>
      <c r="F475" s="226"/>
      <c r="G475" s="376"/>
      <c r="H475" s="226"/>
      <c r="I475" s="237"/>
      <c r="J475" s="9"/>
    </row>
    <row r="476" spans="1:10" x14ac:dyDescent="0.35">
      <c r="A476" s="189"/>
      <c r="B476" s="542"/>
      <c r="C476" s="8"/>
      <c r="D476" s="8"/>
      <c r="E476" s="236"/>
      <c r="F476" s="226"/>
      <c r="G476" s="376"/>
      <c r="H476" s="226"/>
      <c r="I476" s="237"/>
      <c r="J476" s="9"/>
    </row>
    <row r="477" spans="1:10" x14ac:dyDescent="0.35">
      <c r="A477" s="189"/>
      <c r="B477" s="542"/>
      <c r="C477" s="8"/>
      <c r="D477" s="8"/>
      <c r="E477" s="236"/>
      <c r="F477" s="226"/>
      <c r="G477" s="376"/>
      <c r="H477" s="226"/>
      <c r="I477" s="237"/>
      <c r="J477" s="9"/>
    </row>
    <row r="478" spans="1:10" x14ac:dyDescent="0.35">
      <c r="A478" s="189"/>
      <c r="B478" s="542"/>
      <c r="C478" s="8"/>
      <c r="D478" s="8"/>
      <c r="E478" s="236"/>
      <c r="F478" s="226"/>
      <c r="G478" s="376"/>
      <c r="H478" s="226"/>
      <c r="I478" s="237"/>
      <c r="J478" s="9"/>
    </row>
    <row r="479" spans="1:10" x14ac:dyDescent="0.35">
      <c r="A479" s="189"/>
      <c r="B479" s="542"/>
      <c r="C479" s="8"/>
      <c r="D479" s="8"/>
      <c r="E479" s="236"/>
      <c r="F479" s="226"/>
      <c r="G479" s="376"/>
      <c r="H479" s="226"/>
      <c r="I479" s="237"/>
      <c r="J479" s="9"/>
    </row>
    <row r="480" spans="1:10" x14ac:dyDescent="0.35">
      <c r="A480" s="189"/>
      <c r="B480" s="542"/>
      <c r="C480" s="8"/>
      <c r="D480" s="8"/>
      <c r="E480" s="236"/>
      <c r="F480" s="226"/>
      <c r="G480" s="376"/>
      <c r="H480" s="226"/>
      <c r="I480" s="237"/>
      <c r="J480" s="9"/>
    </row>
    <row r="481" spans="1:10" x14ac:dyDescent="0.35">
      <c r="A481" s="189"/>
      <c r="B481" s="542"/>
      <c r="C481" s="8"/>
      <c r="D481" s="8"/>
      <c r="E481" s="236"/>
      <c r="F481" s="226"/>
      <c r="G481" s="376"/>
      <c r="H481" s="226"/>
      <c r="I481" s="237"/>
      <c r="J481" s="9"/>
    </row>
    <row r="482" spans="1:10" x14ac:dyDescent="0.35">
      <c r="A482" s="189"/>
      <c r="B482" s="542"/>
      <c r="C482" s="8"/>
      <c r="D482" s="8"/>
      <c r="E482" s="236"/>
      <c r="F482" s="226"/>
      <c r="G482" s="376"/>
      <c r="H482" s="226"/>
      <c r="I482" s="237"/>
      <c r="J482" s="9"/>
    </row>
    <row r="483" spans="1:10" x14ac:dyDescent="0.35">
      <c r="A483" s="189"/>
      <c r="B483" s="542"/>
      <c r="C483" s="8"/>
      <c r="D483" s="8"/>
      <c r="E483" s="236"/>
      <c r="F483" s="226"/>
      <c r="G483" s="376"/>
      <c r="H483" s="226"/>
      <c r="I483" s="237"/>
      <c r="J483" s="9"/>
    </row>
    <row r="484" spans="1:10" x14ac:dyDescent="0.35">
      <c r="A484" s="189"/>
      <c r="B484" s="542"/>
      <c r="C484" s="8"/>
      <c r="D484" s="8"/>
      <c r="E484" s="236"/>
      <c r="F484" s="226"/>
      <c r="G484" s="376"/>
      <c r="H484" s="226"/>
      <c r="I484" s="237"/>
      <c r="J484" s="9"/>
    </row>
    <row r="485" spans="1:10" x14ac:dyDescent="0.35">
      <c r="A485" s="189"/>
      <c r="B485" s="541"/>
      <c r="C485" s="8"/>
      <c r="D485" s="8"/>
      <c r="E485" s="236"/>
      <c r="F485" s="226"/>
      <c r="G485" s="376"/>
      <c r="H485" s="226"/>
      <c r="I485" s="237"/>
      <c r="J485" s="9"/>
    </row>
    <row r="486" spans="1:10" x14ac:dyDescent="0.35">
      <c r="A486" s="189"/>
      <c r="B486" s="542"/>
      <c r="C486" s="8"/>
      <c r="D486" s="8"/>
      <c r="E486" s="236"/>
      <c r="F486" s="226"/>
      <c r="G486" s="376"/>
      <c r="H486" s="226"/>
      <c r="I486" s="237"/>
      <c r="J486" s="9"/>
    </row>
    <row r="487" spans="1:10" x14ac:dyDescent="0.35">
      <c r="A487" s="189"/>
      <c r="B487" s="542"/>
      <c r="C487" s="8"/>
      <c r="D487" s="8"/>
      <c r="E487" s="236"/>
      <c r="F487" s="226"/>
      <c r="G487" s="376"/>
      <c r="H487" s="226"/>
      <c r="I487" s="237"/>
      <c r="J487" s="9"/>
    </row>
    <row r="488" spans="1:10" x14ac:dyDescent="0.35">
      <c r="A488" s="189"/>
      <c r="B488" s="542"/>
      <c r="C488" s="8"/>
      <c r="D488" s="8"/>
      <c r="E488" s="236"/>
      <c r="F488" s="226"/>
      <c r="G488" s="376"/>
      <c r="H488" s="226"/>
      <c r="I488" s="237"/>
      <c r="J488" s="9"/>
    </row>
    <row r="489" spans="1:10" x14ac:dyDescent="0.35">
      <c r="A489" s="189"/>
      <c r="B489" s="542"/>
      <c r="C489" s="8"/>
      <c r="D489" s="8"/>
      <c r="E489" s="236"/>
      <c r="F489" s="226"/>
      <c r="G489" s="376"/>
      <c r="H489" s="226"/>
      <c r="I489" s="237"/>
      <c r="J489" s="9"/>
    </row>
    <row r="490" spans="1:10" x14ac:dyDescent="0.35">
      <c r="A490" s="189"/>
      <c r="B490" s="542"/>
      <c r="C490" s="8"/>
      <c r="D490" s="8"/>
      <c r="E490" s="236"/>
      <c r="F490" s="226"/>
      <c r="G490" s="376"/>
      <c r="H490" s="226"/>
      <c r="I490" s="237"/>
      <c r="J490" s="9"/>
    </row>
    <row r="491" spans="1:10" x14ac:dyDescent="0.35">
      <c r="A491" s="189"/>
      <c r="B491" s="542"/>
      <c r="C491" s="8"/>
      <c r="D491" s="8"/>
      <c r="E491" s="236"/>
      <c r="F491" s="226"/>
      <c r="G491" s="376"/>
      <c r="H491" s="226"/>
      <c r="I491" s="237"/>
      <c r="J491" s="9"/>
    </row>
    <row r="492" spans="1:10" x14ac:dyDescent="0.35">
      <c r="A492" s="189"/>
      <c r="B492" s="542"/>
      <c r="C492" s="8"/>
      <c r="D492" s="8"/>
      <c r="E492" s="236"/>
      <c r="F492" s="226"/>
      <c r="G492" s="376"/>
      <c r="H492" s="226"/>
      <c r="I492" s="237"/>
      <c r="J492" s="9"/>
    </row>
    <row r="493" spans="1:10" x14ac:dyDescent="0.35">
      <c r="A493" s="189"/>
      <c r="B493" s="542"/>
      <c r="C493" s="8"/>
      <c r="D493" s="8"/>
      <c r="E493" s="236"/>
      <c r="F493" s="226"/>
      <c r="G493" s="376"/>
      <c r="H493" s="226"/>
      <c r="I493" s="237"/>
      <c r="J493" s="9"/>
    </row>
    <row r="494" spans="1:10" x14ac:dyDescent="0.35">
      <c r="A494" s="189"/>
      <c r="B494" s="542"/>
      <c r="C494" s="8"/>
      <c r="D494" s="8"/>
      <c r="E494" s="236"/>
      <c r="F494" s="226"/>
      <c r="G494" s="376"/>
      <c r="H494" s="226"/>
      <c r="I494" s="237"/>
      <c r="J494" s="9"/>
    </row>
    <row r="495" spans="1:10" x14ac:dyDescent="0.35">
      <c r="A495" s="189"/>
      <c r="B495" s="542"/>
      <c r="C495" s="8"/>
      <c r="D495" s="8"/>
      <c r="E495" s="236"/>
      <c r="F495" s="226"/>
      <c r="G495" s="376"/>
      <c r="H495" s="226"/>
      <c r="I495" s="237"/>
      <c r="J495" s="9"/>
    </row>
    <row r="496" spans="1:10" x14ac:dyDescent="0.35">
      <c r="A496" s="189"/>
      <c r="B496" s="542"/>
      <c r="C496" s="8"/>
      <c r="D496" s="8"/>
      <c r="E496" s="236"/>
      <c r="F496" s="226"/>
      <c r="G496" s="376"/>
      <c r="H496" s="226"/>
      <c r="I496" s="237"/>
      <c r="J496" s="9"/>
    </row>
    <row r="497" spans="1:10" x14ac:dyDescent="0.35">
      <c r="A497" s="189"/>
      <c r="B497" s="542"/>
      <c r="C497" s="8"/>
      <c r="D497" s="8"/>
      <c r="E497" s="236"/>
      <c r="F497" s="226"/>
      <c r="G497" s="376"/>
      <c r="H497" s="226"/>
      <c r="I497" s="237"/>
      <c r="J497" s="9"/>
    </row>
    <row r="498" spans="1:10" x14ac:dyDescent="0.35">
      <c r="A498" s="189"/>
      <c r="B498" s="542"/>
      <c r="C498" s="8"/>
      <c r="D498" s="8"/>
      <c r="E498" s="236"/>
      <c r="F498" s="226"/>
      <c r="G498" s="376"/>
      <c r="H498" s="226"/>
      <c r="I498" s="237"/>
      <c r="J498" s="9"/>
    </row>
    <row r="499" spans="1:10" x14ac:dyDescent="0.35">
      <c r="A499" s="189"/>
      <c r="B499" s="542"/>
      <c r="C499" s="8"/>
      <c r="D499" s="8"/>
      <c r="E499" s="236"/>
      <c r="F499" s="226"/>
      <c r="G499" s="376"/>
      <c r="H499" s="226"/>
      <c r="I499" s="237"/>
      <c r="J499" s="9"/>
    </row>
    <row r="500" spans="1:10" x14ac:dyDescent="0.35">
      <c r="A500" s="189"/>
      <c r="B500" s="542"/>
      <c r="C500" s="8"/>
      <c r="D500" s="8"/>
      <c r="E500" s="236"/>
      <c r="F500" s="226"/>
      <c r="G500" s="376"/>
      <c r="H500" s="226"/>
      <c r="I500" s="237"/>
      <c r="J500" s="9"/>
    </row>
    <row r="501" spans="1:10" x14ac:dyDescent="0.35">
      <c r="A501" s="189"/>
      <c r="B501" s="542"/>
      <c r="C501" s="8"/>
      <c r="D501" s="8"/>
      <c r="E501" s="236"/>
      <c r="F501" s="226"/>
      <c r="G501" s="376"/>
      <c r="H501" s="226"/>
      <c r="I501" s="237"/>
      <c r="J501" s="9"/>
    </row>
    <row r="502" spans="1:10" x14ac:dyDescent="0.35">
      <c r="A502" s="189"/>
      <c r="B502" s="541"/>
      <c r="C502" s="8"/>
      <c r="D502" s="8"/>
      <c r="E502" s="236"/>
      <c r="F502" s="226"/>
      <c r="G502" s="376"/>
      <c r="H502" s="226"/>
      <c r="I502" s="237"/>
      <c r="J502" s="9"/>
    </row>
    <row r="503" spans="1:10" x14ac:dyDescent="0.35">
      <c r="A503" s="189"/>
      <c r="B503" s="542"/>
      <c r="C503" s="8"/>
      <c r="D503" s="8"/>
      <c r="E503" s="236"/>
      <c r="F503" s="226"/>
      <c r="G503" s="376"/>
      <c r="H503" s="226"/>
      <c r="I503" s="237"/>
      <c r="J503" s="9"/>
    </row>
    <row r="504" spans="1:10" x14ac:dyDescent="0.35">
      <c r="A504" s="189"/>
      <c r="B504" s="542"/>
      <c r="C504" s="8"/>
      <c r="D504" s="8"/>
      <c r="E504" s="236"/>
      <c r="F504" s="226"/>
      <c r="G504" s="376"/>
      <c r="H504" s="226"/>
      <c r="I504" s="237"/>
      <c r="J504" s="9"/>
    </row>
    <row r="505" spans="1:10" x14ac:dyDescent="0.35">
      <c r="A505" s="189"/>
      <c r="B505" s="542"/>
      <c r="C505" s="8"/>
      <c r="D505" s="8"/>
      <c r="E505" s="236"/>
      <c r="F505" s="226"/>
      <c r="G505" s="376"/>
      <c r="H505" s="226"/>
      <c r="I505" s="237"/>
      <c r="J505" s="9"/>
    </row>
    <row r="506" spans="1:10" x14ac:dyDescent="0.35">
      <c r="A506" s="189"/>
      <c r="B506" s="542"/>
      <c r="C506" s="8"/>
      <c r="D506" s="8"/>
      <c r="E506" s="236"/>
      <c r="F506" s="226"/>
      <c r="G506" s="376"/>
      <c r="H506" s="226"/>
      <c r="I506" s="237"/>
      <c r="J506" s="9"/>
    </row>
    <row r="507" spans="1:10" x14ac:dyDescent="0.35">
      <c r="A507" s="189"/>
      <c r="B507" s="542"/>
      <c r="C507" s="8"/>
      <c r="D507" s="8"/>
      <c r="E507" s="236"/>
      <c r="F507" s="226"/>
      <c r="G507" s="376"/>
      <c r="H507" s="226"/>
      <c r="I507" s="237"/>
      <c r="J507" s="9"/>
    </row>
    <row r="508" spans="1:10" x14ac:dyDescent="0.35">
      <c r="A508" s="189"/>
      <c r="B508" s="542"/>
      <c r="C508" s="8"/>
      <c r="D508" s="8"/>
      <c r="E508" s="236"/>
      <c r="F508" s="226"/>
      <c r="G508" s="376"/>
      <c r="H508" s="226"/>
      <c r="I508" s="237"/>
      <c r="J508" s="9"/>
    </row>
    <row r="509" spans="1:10" x14ac:dyDescent="0.35">
      <c r="A509" s="189"/>
      <c r="B509" s="542"/>
      <c r="C509" s="8"/>
      <c r="D509" s="8"/>
      <c r="E509" s="236"/>
      <c r="F509" s="226"/>
      <c r="G509" s="376"/>
      <c r="H509" s="226"/>
      <c r="I509" s="237"/>
      <c r="J509" s="9"/>
    </row>
    <row r="510" spans="1:10" x14ac:dyDescent="0.35">
      <c r="A510" s="189"/>
      <c r="B510" s="542"/>
      <c r="C510" s="8"/>
      <c r="D510" s="8"/>
      <c r="E510" s="236"/>
      <c r="F510" s="226"/>
      <c r="G510" s="376"/>
      <c r="H510" s="226"/>
      <c r="I510" s="237"/>
      <c r="J510" s="9"/>
    </row>
    <row r="511" spans="1:10" x14ac:dyDescent="0.35">
      <c r="A511" s="189"/>
      <c r="B511" s="542"/>
      <c r="C511" s="8"/>
      <c r="D511" s="8"/>
      <c r="E511" s="236"/>
      <c r="F511" s="226"/>
      <c r="G511" s="376"/>
      <c r="H511" s="226"/>
      <c r="I511" s="237"/>
      <c r="J511" s="9"/>
    </row>
    <row r="512" spans="1:10" x14ac:dyDescent="0.35">
      <c r="A512" s="189"/>
      <c r="B512" s="542"/>
      <c r="C512" s="8"/>
      <c r="D512" s="8"/>
      <c r="E512" s="236"/>
      <c r="F512" s="226"/>
      <c r="G512" s="376"/>
      <c r="H512" s="226"/>
      <c r="I512" s="237"/>
      <c r="J512" s="9"/>
    </row>
    <row r="513" spans="1:10" x14ac:dyDescent="0.35">
      <c r="A513" s="189"/>
      <c r="B513" s="542"/>
      <c r="C513" s="8"/>
      <c r="D513" s="8"/>
      <c r="E513" s="236"/>
      <c r="F513" s="226"/>
      <c r="G513" s="376"/>
      <c r="H513" s="226"/>
      <c r="I513" s="237"/>
      <c r="J513" s="9"/>
    </row>
    <row r="514" spans="1:10" x14ac:dyDescent="0.35">
      <c r="A514" s="189"/>
      <c r="B514" s="542"/>
      <c r="C514" s="8"/>
      <c r="D514" s="8"/>
      <c r="E514" s="236"/>
      <c r="F514" s="226"/>
      <c r="G514" s="376"/>
      <c r="H514" s="226"/>
      <c r="I514" s="237"/>
      <c r="J514" s="9"/>
    </row>
    <row r="515" spans="1:10" x14ac:dyDescent="0.35">
      <c r="A515" s="189"/>
      <c r="B515" s="542"/>
      <c r="C515" s="8"/>
      <c r="D515" s="8"/>
      <c r="E515" s="236"/>
      <c r="F515" s="226"/>
      <c r="G515" s="376"/>
      <c r="H515" s="226"/>
      <c r="I515" s="237"/>
      <c r="J515" s="9"/>
    </row>
    <row r="516" spans="1:10" x14ac:dyDescent="0.35">
      <c r="A516" s="189"/>
      <c r="B516" s="542"/>
      <c r="C516" s="8"/>
      <c r="D516" s="8"/>
      <c r="E516" s="236"/>
      <c r="F516" s="226"/>
      <c r="G516" s="376"/>
      <c r="H516" s="226"/>
      <c r="I516" s="237"/>
      <c r="J516" s="9"/>
    </row>
    <row r="517" spans="1:10" x14ac:dyDescent="0.35">
      <c r="A517" s="189"/>
      <c r="B517" s="542"/>
      <c r="C517" s="8"/>
      <c r="D517" s="8"/>
      <c r="E517" s="236"/>
      <c r="F517" s="226"/>
      <c r="G517" s="376"/>
      <c r="H517" s="226"/>
      <c r="I517" s="237"/>
      <c r="J517" s="9"/>
    </row>
    <row r="518" spans="1:10" x14ac:dyDescent="0.35">
      <c r="A518" s="189"/>
      <c r="B518" s="542"/>
      <c r="C518" s="8"/>
      <c r="D518" s="8"/>
      <c r="E518" s="236"/>
      <c r="F518" s="226"/>
      <c r="G518" s="376"/>
      <c r="H518" s="226"/>
      <c r="I518" s="237"/>
      <c r="J518" s="9"/>
    </row>
    <row r="519" spans="1:10" x14ac:dyDescent="0.35">
      <c r="A519" s="189"/>
      <c r="B519" s="541"/>
      <c r="C519" s="8"/>
      <c r="D519" s="8"/>
      <c r="E519" s="236"/>
      <c r="F519" s="226"/>
      <c r="G519" s="376"/>
      <c r="H519" s="226"/>
      <c r="I519" s="237"/>
      <c r="J519" s="9"/>
    </row>
    <row r="520" spans="1:10" x14ac:dyDescent="0.35">
      <c r="A520" s="189"/>
      <c r="B520" s="542"/>
      <c r="C520" s="8"/>
      <c r="D520" s="8"/>
      <c r="E520" s="236"/>
      <c r="F520" s="226"/>
      <c r="G520" s="376"/>
      <c r="H520" s="226"/>
      <c r="I520" s="237"/>
      <c r="J520" s="9"/>
    </row>
    <row r="521" spans="1:10" x14ac:dyDescent="0.35">
      <c r="A521" s="189"/>
      <c r="B521" s="542"/>
      <c r="C521" s="8"/>
      <c r="D521" s="8"/>
      <c r="E521" s="236"/>
      <c r="F521" s="226"/>
      <c r="G521" s="376"/>
      <c r="H521" s="226"/>
      <c r="I521" s="237"/>
      <c r="J521" s="9"/>
    </row>
    <row r="522" spans="1:10" x14ac:dyDescent="0.35">
      <c r="A522" s="189"/>
      <c r="B522" s="542"/>
      <c r="C522" s="8"/>
      <c r="D522" s="8"/>
      <c r="E522" s="236"/>
      <c r="F522" s="226"/>
      <c r="G522" s="376"/>
      <c r="H522" s="226"/>
      <c r="I522" s="237"/>
      <c r="J522" s="9"/>
    </row>
    <row r="523" spans="1:10" x14ac:dyDescent="0.35">
      <c r="A523" s="189"/>
      <c r="B523" s="542"/>
      <c r="C523" s="8"/>
      <c r="D523" s="8"/>
      <c r="E523" s="236"/>
      <c r="F523" s="226"/>
      <c r="G523" s="376"/>
      <c r="H523" s="226"/>
      <c r="I523" s="237"/>
      <c r="J523" s="9"/>
    </row>
    <row r="524" spans="1:10" x14ac:dyDescent="0.35">
      <c r="A524" s="189"/>
      <c r="B524" s="542"/>
      <c r="C524" s="8"/>
      <c r="D524" s="8"/>
      <c r="E524" s="236"/>
      <c r="F524" s="226"/>
      <c r="G524" s="376"/>
      <c r="H524" s="226"/>
      <c r="I524" s="237"/>
      <c r="J524" s="9"/>
    </row>
    <row r="525" spans="1:10" x14ac:dyDescent="0.35">
      <c r="A525" s="189"/>
      <c r="B525" s="542"/>
      <c r="C525" s="8"/>
      <c r="D525" s="8"/>
      <c r="E525" s="236"/>
      <c r="F525" s="226"/>
      <c r="G525" s="376"/>
      <c r="H525" s="226"/>
      <c r="I525" s="237"/>
      <c r="J525" s="9"/>
    </row>
    <row r="526" spans="1:10" x14ac:dyDescent="0.35">
      <c r="A526" s="189"/>
      <c r="B526" s="542"/>
      <c r="C526" s="8"/>
      <c r="D526" s="8"/>
      <c r="E526" s="236"/>
      <c r="F526" s="226"/>
      <c r="G526" s="376"/>
      <c r="H526" s="226"/>
      <c r="I526" s="237"/>
      <c r="J526" s="9"/>
    </row>
    <row r="527" spans="1:10" x14ac:dyDescent="0.35">
      <c r="A527" s="189"/>
      <c r="B527" s="542"/>
      <c r="C527" s="8"/>
      <c r="D527" s="8"/>
      <c r="E527" s="236"/>
      <c r="F527" s="226"/>
      <c r="G527" s="376"/>
      <c r="H527" s="226"/>
      <c r="I527" s="237"/>
      <c r="J527" s="9"/>
    </row>
    <row r="528" spans="1:10" x14ac:dyDescent="0.35">
      <c r="A528" s="189"/>
      <c r="B528" s="542"/>
      <c r="C528" s="8"/>
      <c r="D528" s="8"/>
      <c r="E528" s="236"/>
      <c r="F528" s="226"/>
      <c r="G528" s="376"/>
      <c r="H528" s="226"/>
      <c r="I528" s="237"/>
      <c r="J528" s="9"/>
    </row>
    <row r="529" spans="1:10" x14ac:dyDescent="0.35">
      <c r="A529" s="189"/>
      <c r="B529" s="542"/>
      <c r="C529" s="8"/>
      <c r="D529" s="8"/>
      <c r="E529" s="236"/>
      <c r="F529" s="226"/>
      <c r="G529" s="376"/>
      <c r="H529" s="226"/>
      <c r="I529" s="237"/>
      <c r="J529" s="9"/>
    </row>
    <row r="530" spans="1:10" x14ac:dyDescent="0.35">
      <c r="A530" s="189"/>
      <c r="B530" s="542"/>
      <c r="C530" s="8"/>
      <c r="D530" s="8"/>
      <c r="E530" s="236"/>
      <c r="F530" s="226"/>
      <c r="G530" s="376"/>
      <c r="H530" s="226"/>
      <c r="I530" s="237"/>
      <c r="J530" s="9"/>
    </row>
    <row r="531" spans="1:10" x14ac:dyDescent="0.35">
      <c r="A531" s="189"/>
      <c r="B531" s="542"/>
      <c r="C531" s="8"/>
      <c r="D531" s="8"/>
      <c r="E531" s="236"/>
      <c r="F531" s="226"/>
      <c r="G531" s="376"/>
      <c r="H531" s="226"/>
      <c r="I531" s="237"/>
      <c r="J531" s="9"/>
    </row>
    <row r="532" spans="1:10" x14ac:dyDescent="0.35">
      <c r="A532" s="189"/>
      <c r="B532" s="542"/>
      <c r="C532" s="8"/>
      <c r="D532" s="8"/>
      <c r="E532" s="236"/>
      <c r="F532" s="226"/>
      <c r="G532" s="376"/>
      <c r="H532" s="226"/>
      <c r="I532" s="237"/>
      <c r="J532" s="9"/>
    </row>
    <row r="533" spans="1:10" x14ac:dyDescent="0.35">
      <c r="A533" s="189"/>
      <c r="B533" s="542"/>
      <c r="C533" s="8"/>
      <c r="D533" s="8"/>
      <c r="E533" s="236"/>
      <c r="F533" s="226"/>
      <c r="G533" s="376"/>
      <c r="H533" s="226"/>
      <c r="I533" s="237"/>
      <c r="J533" s="9"/>
    </row>
    <row r="534" spans="1:10" x14ac:dyDescent="0.35">
      <c r="A534" s="189"/>
      <c r="B534" s="542"/>
      <c r="C534" s="8"/>
      <c r="D534" s="8"/>
      <c r="E534" s="236"/>
      <c r="F534" s="226"/>
      <c r="G534" s="376"/>
      <c r="H534" s="226"/>
      <c r="I534" s="237"/>
      <c r="J534" s="9"/>
    </row>
    <row r="535" spans="1:10" x14ac:dyDescent="0.35">
      <c r="A535" s="189"/>
      <c r="B535" s="542"/>
      <c r="C535" s="8"/>
      <c r="D535" s="8"/>
      <c r="E535" s="236"/>
      <c r="F535" s="226"/>
      <c r="G535" s="376"/>
      <c r="H535" s="226"/>
      <c r="I535" s="237"/>
      <c r="J535" s="9"/>
    </row>
    <row r="536" spans="1:10" x14ac:dyDescent="0.35">
      <c r="A536" s="189"/>
      <c r="B536" s="541"/>
      <c r="C536" s="8"/>
      <c r="D536" s="8"/>
      <c r="E536" s="236"/>
      <c r="F536" s="226"/>
      <c r="G536" s="376"/>
      <c r="H536" s="226"/>
      <c r="I536" s="237"/>
      <c r="J536" s="9"/>
    </row>
    <row r="537" spans="1:10" x14ac:dyDescent="0.35">
      <c r="A537" s="189"/>
      <c r="B537" s="542"/>
      <c r="C537" s="8"/>
      <c r="D537" s="8"/>
      <c r="E537" s="236"/>
      <c r="F537" s="226"/>
      <c r="G537" s="376"/>
      <c r="H537" s="226"/>
      <c r="I537" s="237"/>
      <c r="J537" s="9"/>
    </row>
    <row r="538" spans="1:10" x14ac:dyDescent="0.35">
      <c r="A538" s="189"/>
      <c r="B538" s="542"/>
      <c r="C538" s="8"/>
      <c r="D538" s="8"/>
      <c r="E538" s="236"/>
      <c r="F538" s="226"/>
      <c r="G538" s="376"/>
      <c r="H538" s="226"/>
      <c r="I538" s="237"/>
      <c r="J538" s="9"/>
    </row>
    <row r="539" spans="1:10" x14ac:dyDescent="0.35">
      <c r="A539" s="189"/>
      <c r="B539" s="542"/>
      <c r="C539" s="8"/>
      <c r="D539" s="8"/>
      <c r="E539" s="236"/>
      <c r="F539" s="226"/>
      <c r="G539" s="376"/>
      <c r="H539" s="226"/>
      <c r="I539" s="237"/>
      <c r="J539" s="9"/>
    </row>
    <row r="540" spans="1:10" x14ac:dyDescent="0.35">
      <c r="A540" s="189"/>
      <c r="B540" s="542"/>
      <c r="C540" s="8"/>
      <c r="D540" s="8"/>
      <c r="E540" s="236"/>
      <c r="F540" s="226"/>
      <c r="G540" s="376"/>
      <c r="H540" s="226"/>
      <c r="I540" s="237"/>
      <c r="J540" s="9"/>
    </row>
    <row r="541" spans="1:10" x14ac:dyDescent="0.35">
      <c r="A541" s="189"/>
      <c r="B541" s="542"/>
      <c r="C541" s="8"/>
      <c r="D541" s="8"/>
      <c r="E541" s="236"/>
      <c r="F541" s="226"/>
      <c r="G541" s="376"/>
      <c r="H541" s="226"/>
      <c r="I541" s="237"/>
      <c r="J541" s="9"/>
    </row>
    <row r="542" spans="1:10" x14ac:dyDescent="0.35">
      <c r="A542" s="189"/>
      <c r="B542" s="542"/>
      <c r="C542" s="8"/>
      <c r="D542" s="8"/>
      <c r="E542" s="236"/>
      <c r="F542" s="226"/>
      <c r="G542" s="376"/>
      <c r="H542" s="226"/>
      <c r="I542" s="237"/>
      <c r="J542" s="9"/>
    </row>
    <row r="543" spans="1:10" x14ac:dyDescent="0.35">
      <c r="A543" s="189"/>
      <c r="B543" s="542"/>
      <c r="C543" s="8"/>
      <c r="D543" s="8"/>
      <c r="E543" s="236"/>
      <c r="F543" s="226"/>
      <c r="G543" s="376"/>
      <c r="H543" s="226"/>
      <c r="I543" s="237"/>
      <c r="J543" s="9"/>
    </row>
    <row r="544" spans="1:10" x14ac:dyDescent="0.35">
      <c r="A544" s="189"/>
      <c r="B544" s="542"/>
      <c r="C544" s="8"/>
      <c r="D544" s="8"/>
      <c r="E544" s="236"/>
      <c r="F544" s="226"/>
      <c r="G544" s="376"/>
      <c r="H544" s="226"/>
      <c r="I544" s="237"/>
      <c r="J544" s="9"/>
    </row>
    <row r="545" spans="1:10" x14ac:dyDescent="0.35">
      <c r="A545" s="189"/>
      <c r="B545" s="542"/>
      <c r="C545" s="8"/>
      <c r="D545" s="8"/>
      <c r="E545" s="236"/>
      <c r="F545" s="226"/>
      <c r="G545" s="376"/>
      <c r="H545" s="226"/>
      <c r="I545" s="237"/>
      <c r="J545" s="9"/>
    </row>
    <row r="546" spans="1:10" x14ac:dyDescent="0.35">
      <c r="A546" s="189"/>
      <c r="B546" s="542"/>
      <c r="C546" s="8"/>
      <c r="D546" s="8"/>
      <c r="E546" s="236"/>
      <c r="F546" s="226"/>
      <c r="G546" s="376"/>
      <c r="H546" s="226"/>
      <c r="I546" s="237"/>
      <c r="J546" s="9"/>
    </row>
    <row r="547" spans="1:10" x14ac:dyDescent="0.35">
      <c r="A547" s="189"/>
      <c r="B547" s="542"/>
      <c r="C547" s="8"/>
      <c r="D547" s="8"/>
      <c r="E547" s="236"/>
      <c r="F547" s="226"/>
      <c r="G547" s="376"/>
      <c r="H547" s="226"/>
      <c r="I547" s="237"/>
      <c r="J547" s="9"/>
    </row>
    <row r="548" spans="1:10" x14ac:dyDescent="0.35">
      <c r="A548" s="189"/>
      <c r="B548" s="542"/>
      <c r="C548" s="8"/>
      <c r="D548" s="8"/>
      <c r="E548" s="236"/>
      <c r="F548" s="226"/>
      <c r="G548" s="376"/>
      <c r="H548" s="226"/>
      <c r="I548" s="237"/>
      <c r="J548" s="9"/>
    </row>
    <row r="549" spans="1:10" x14ac:dyDescent="0.35">
      <c r="A549" s="189"/>
      <c r="B549" s="542"/>
      <c r="C549" s="8"/>
      <c r="D549" s="8"/>
      <c r="E549" s="236"/>
      <c r="F549" s="226"/>
      <c r="G549" s="376"/>
      <c r="H549" s="226"/>
      <c r="I549" s="237"/>
      <c r="J549" s="9"/>
    </row>
    <row r="550" spans="1:10" x14ac:dyDescent="0.35">
      <c r="A550" s="189"/>
      <c r="B550" s="542"/>
      <c r="C550" s="8"/>
      <c r="D550" s="8"/>
      <c r="E550" s="236"/>
      <c r="F550" s="226"/>
      <c r="G550" s="376"/>
      <c r="H550" s="226"/>
      <c r="I550" s="237"/>
      <c r="J550" s="9"/>
    </row>
    <row r="551" spans="1:10" x14ac:dyDescent="0.35">
      <c r="A551" s="189"/>
      <c r="B551" s="542"/>
      <c r="C551" s="8"/>
      <c r="D551" s="8"/>
      <c r="E551" s="236"/>
      <c r="F551" s="226"/>
      <c r="G551" s="376"/>
      <c r="H551" s="226"/>
      <c r="I551" s="237"/>
      <c r="J551" s="9"/>
    </row>
    <row r="552" spans="1:10" x14ac:dyDescent="0.35">
      <c r="A552" s="189"/>
      <c r="B552" s="542"/>
      <c r="C552" s="8"/>
      <c r="D552" s="8"/>
      <c r="E552" s="236"/>
      <c r="F552" s="226"/>
      <c r="G552" s="376"/>
      <c r="H552" s="226"/>
      <c r="I552" s="237"/>
      <c r="J552" s="9"/>
    </row>
    <row r="553" spans="1:10" x14ac:dyDescent="0.35">
      <c r="A553" s="189"/>
      <c r="B553" s="541"/>
      <c r="C553" s="8"/>
      <c r="D553" s="8"/>
      <c r="E553" s="236"/>
      <c r="F553" s="226"/>
      <c r="G553" s="376"/>
      <c r="H553" s="226"/>
      <c r="I553" s="237"/>
      <c r="J553" s="9"/>
    </row>
    <row r="554" spans="1:10" x14ac:dyDescent="0.35">
      <c r="A554" s="189"/>
      <c r="B554" s="542"/>
      <c r="C554" s="8"/>
      <c r="D554" s="8"/>
      <c r="E554" s="236"/>
      <c r="F554" s="226"/>
      <c r="G554" s="376"/>
      <c r="H554" s="226"/>
      <c r="I554" s="237"/>
      <c r="J554" s="9"/>
    </row>
    <row r="555" spans="1:10" x14ac:dyDescent="0.35">
      <c r="A555" s="189"/>
      <c r="B555" s="542"/>
      <c r="C555" s="8"/>
      <c r="D555" s="8"/>
      <c r="E555" s="236"/>
      <c r="F555" s="226"/>
      <c r="G555" s="376"/>
      <c r="H555" s="226"/>
      <c r="I555" s="237"/>
      <c r="J555" s="9"/>
    </row>
    <row r="556" spans="1:10" x14ac:dyDescent="0.35">
      <c r="A556" s="189"/>
      <c r="B556" s="542"/>
      <c r="C556" s="8"/>
      <c r="D556" s="8"/>
      <c r="E556" s="236"/>
      <c r="F556" s="226"/>
      <c r="G556" s="376"/>
      <c r="H556" s="226"/>
      <c r="I556" s="237"/>
      <c r="J556" s="9"/>
    </row>
    <row r="557" spans="1:10" x14ac:dyDescent="0.35">
      <c r="A557" s="189"/>
      <c r="B557" s="542"/>
      <c r="C557" s="8"/>
      <c r="D557" s="8"/>
      <c r="E557" s="236"/>
      <c r="F557" s="226"/>
      <c r="G557" s="376"/>
      <c r="H557" s="226"/>
      <c r="I557" s="237"/>
      <c r="J557" s="9"/>
    </row>
    <row r="558" spans="1:10" x14ac:dyDescent="0.35">
      <c r="A558" s="189"/>
      <c r="B558" s="542"/>
      <c r="C558" s="8"/>
      <c r="D558" s="8"/>
      <c r="E558" s="236"/>
      <c r="F558" s="226"/>
      <c r="G558" s="376"/>
      <c r="H558" s="226"/>
      <c r="I558" s="237"/>
      <c r="J558" s="9"/>
    </row>
    <row r="559" spans="1:10" x14ac:dyDescent="0.35">
      <c r="A559" s="189"/>
      <c r="B559" s="542"/>
      <c r="C559" s="8"/>
      <c r="D559" s="8"/>
      <c r="E559" s="236"/>
      <c r="F559" s="226"/>
      <c r="G559" s="376"/>
      <c r="H559" s="226"/>
      <c r="I559" s="237"/>
      <c r="J559" s="9"/>
    </row>
    <row r="560" spans="1:10" x14ac:dyDescent="0.35">
      <c r="A560" s="189"/>
      <c r="B560" s="542"/>
      <c r="C560" s="8"/>
      <c r="D560" s="8"/>
      <c r="E560" s="236"/>
      <c r="F560" s="226"/>
      <c r="G560" s="376"/>
      <c r="H560" s="226"/>
      <c r="I560" s="237"/>
      <c r="J560" s="9"/>
    </row>
    <row r="561" spans="1:10" x14ac:dyDescent="0.35">
      <c r="A561" s="189"/>
      <c r="B561" s="542"/>
      <c r="C561" s="8"/>
      <c r="D561" s="8"/>
      <c r="E561" s="236"/>
      <c r="F561" s="226"/>
      <c r="G561" s="376"/>
      <c r="H561" s="226"/>
      <c r="I561" s="237"/>
      <c r="J561" s="9"/>
    </row>
    <row r="562" spans="1:10" x14ac:dyDescent="0.35">
      <c r="A562" s="189"/>
      <c r="B562" s="542"/>
      <c r="C562" s="8"/>
      <c r="D562" s="8"/>
      <c r="E562" s="236"/>
      <c r="F562" s="226"/>
      <c r="G562" s="376"/>
      <c r="H562" s="226"/>
      <c r="I562" s="237"/>
      <c r="J562" s="9"/>
    </row>
    <row r="563" spans="1:10" x14ac:dyDescent="0.35">
      <c r="A563" s="189"/>
      <c r="B563" s="542"/>
      <c r="C563" s="8"/>
      <c r="D563" s="8"/>
      <c r="E563" s="236"/>
      <c r="F563" s="226"/>
      <c r="G563" s="376"/>
      <c r="H563" s="226"/>
      <c r="I563" s="237"/>
      <c r="J563" s="9"/>
    </row>
    <row r="564" spans="1:10" x14ac:dyDescent="0.35">
      <c r="A564" s="189"/>
      <c r="B564" s="542"/>
      <c r="C564" s="8"/>
      <c r="D564" s="8"/>
      <c r="E564" s="236"/>
      <c r="F564" s="226"/>
      <c r="G564" s="376"/>
      <c r="H564" s="226"/>
      <c r="I564" s="237"/>
      <c r="J564" s="9"/>
    </row>
    <row r="565" spans="1:10" x14ac:dyDescent="0.35">
      <c r="A565" s="189"/>
      <c r="B565" s="542"/>
      <c r="C565" s="8"/>
      <c r="D565" s="8"/>
      <c r="E565" s="236"/>
      <c r="F565" s="226"/>
      <c r="G565" s="376"/>
      <c r="H565" s="226"/>
      <c r="I565" s="237"/>
      <c r="J565" s="9"/>
    </row>
    <row r="566" spans="1:10" x14ac:dyDescent="0.35">
      <c r="A566" s="189"/>
      <c r="B566" s="542"/>
      <c r="C566" s="8"/>
      <c r="D566" s="8"/>
      <c r="E566" s="236"/>
      <c r="F566" s="226"/>
      <c r="G566" s="376"/>
      <c r="H566" s="226"/>
      <c r="I566" s="237"/>
      <c r="J566" s="9"/>
    </row>
    <row r="567" spans="1:10" x14ac:dyDescent="0.35">
      <c r="A567" s="189"/>
      <c r="B567" s="542"/>
      <c r="C567" s="8"/>
      <c r="D567" s="8"/>
      <c r="E567" s="236"/>
      <c r="F567" s="226"/>
      <c r="G567" s="376"/>
      <c r="H567" s="226"/>
      <c r="I567" s="237"/>
      <c r="J567" s="9"/>
    </row>
    <row r="568" spans="1:10" x14ac:dyDescent="0.35">
      <c r="A568" s="189"/>
      <c r="B568" s="542"/>
      <c r="C568" s="8"/>
      <c r="D568" s="8"/>
      <c r="E568" s="236"/>
      <c r="F568" s="226"/>
      <c r="G568" s="376"/>
      <c r="H568" s="226"/>
      <c r="I568" s="237"/>
      <c r="J568" s="9"/>
    </row>
    <row r="569" spans="1:10" x14ac:dyDescent="0.35">
      <c r="A569" s="189"/>
      <c r="B569" s="542"/>
      <c r="C569" s="8"/>
      <c r="D569" s="8"/>
      <c r="E569" s="236"/>
      <c r="F569" s="226"/>
      <c r="G569" s="376"/>
      <c r="H569" s="226"/>
      <c r="I569" s="237"/>
      <c r="J569" s="9"/>
    </row>
    <row r="570" spans="1:10" x14ac:dyDescent="0.35">
      <c r="A570" s="189"/>
      <c r="B570" s="541"/>
      <c r="C570" s="8"/>
      <c r="D570" s="8"/>
      <c r="E570" s="236"/>
      <c r="F570" s="226"/>
      <c r="G570" s="376"/>
      <c r="H570" s="226"/>
      <c r="I570" s="237"/>
      <c r="J570" s="9"/>
    </row>
    <row r="571" spans="1:10" x14ac:dyDescent="0.35">
      <c r="A571" s="189"/>
      <c r="B571" s="542"/>
      <c r="C571" s="8"/>
      <c r="D571" s="8"/>
      <c r="E571" s="236"/>
      <c r="F571" s="226"/>
      <c r="G571" s="376"/>
      <c r="H571" s="226"/>
      <c r="I571" s="237"/>
      <c r="J571" s="9"/>
    </row>
    <row r="572" spans="1:10" x14ac:dyDescent="0.35">
      <c r="A572" s="189"/>
      <c r="B572" s="542"/>
      <c r="C572" s="8"/>
      <c r="D572" s="8"/>
      <c r="E572" s="236"/>
      <c r="F572" s="226"/>
      <c r="G572" s="376"/>
      <c r="H572" s="226"/>
      <c r="I572" s="237"/>
      <c r="J572" s="9"/>
    </row>
    <row r="573" spans="1:10" x14ac:dyDescent="0.35">
      <c r="A573" s="189"/>
      <c r="B573" s="542"/>
      <c r="C573" s="8"/>
      <c r="D573" s="8"/>
      <c r="E573" s="236"/>
      <c r="F573" s="226"/>
      <c r="G573" s="376"/>
      <c r="H573" s="226"/>
      <c r="I573" s="237"/>
      <c r="J573" s="9"/>
    </row>
    <row r="574" spans="1:10" x14ac:dyDescent="0.35">
      <c r="A574" s="189"/>
      <c r="B574" s="542"/>
      <c r="C574" s="8"/>
      <c r="D574" s="8"/>
      <c r="E574" s="236"/>
      <c r="F574" s="226"/>
      <c r="G574" s="376"/>
      <c r="H574" s="226"/>
      <c r="I574" s="237"/>
      <c r="J574" s="9"/>
    </row>
    <row r="575" spans="1:10" x14ac:dyDescent="0.35">
      <c r="A575" s="189"/>
      <c r="B575" s="542"/>
      <c r="C575" s="8"/>
      <c r="D575" s="8"/>
      <c r="E575" s="236"/>
      <c r="F575" s="226"/>
      <c r="G575" s="376"/>
      <c r="H575" s="226"/>
      <c r="I575" s="237"/>
      <c r="J575" s="9"/>
    </row>
    <row r="576" spans="1:10" x14ac:dyDescent="0.35">
      <c r="A576" s="189"/>
      <c r="B576" s="542"/>
      <c r="C576" s="8"/>
      <c r="D576" s="8"/>
      <c r="E576" s="236"/>
      <c r="F576" s="226"/>
      <c r="G576" s="376"/>
      <c r="H576" s="226"/>
      <c r="I576" s="237"/>
      <c r="J576" s="9"/>
    </row>
    <row r="577" spans="1:10" x14ac:dyDescent="0.35">
      <c r="A577" s="189"/>
      <c r="B577" s="542"/>
      <c r="C577" s="8"/>
      <c r="D577" s="8"/>
      <c r="E577" s="236"/>
      <c r="F577" s="226"/>
      <c r="G577" s="376"/>
      <c r="H577" s="226"/>
      <c r="I577" s="237"/>
      <c r="J577" s="9"/>
    </row>
    <row r="578" spans="1:10" x14ac:dyDescent="0.35">
      <c r="A578" s="189"/>
      <c r="B578" s="542"/>
      <c r="C578" s="8"/>
      <c r="D578" s="8"/>
      <c r="E578" s="236"/>
      <c r="F578" s="226"/>
      <c r="G578" s="376"/>
      <c r="H578" s="226"/>
      <c r="I578" s="237"/>
      <c r="J578" s="9"/>
    </row>
    <row r="579" spans="1:10" x14ac:dyDescent="0.35">
      <c r="A579" s="189"/>
      <c r="B579" s="542"/>
      <c r="C579" s="8"/>
      <c r="D579" s="8"/>
      <c r="E579" s="236"/>
      <c r="F579" s="226"/>
      <c r="G579" s="376"/>
      <c r="H579" s="226"/>
      <c r="I579" s="237"/>
      <c r="J579" s="9"/>
    </row>
    <row r="580" spans="1:10" x14ac:dyDescent="0.35">
      <c r="A580" s="189"/>
      <c r="B580" s="542"/>
      <c r="C580" s="8"/>
      <c r="D580" s="8"/>
      <c r="E580" s="236"/>
      <c r="F580" s="226"/>
      <c r="G580" s="376"/>
      <c r="H580" s="226"/>
      <c r="I580" s="237"/>
      <c r="J580" s="9"/>
    </row>
    <row r="581" spans="1:10" x14ac:dyDescent="0.35">
      <c r="A581" s="189"/>
      <c r="B581" s="542"/>
      <c r="C581" s="8"/>
      <c r="D581" s="8"/>
      <c r="E581" s="236"/>
      <c r="F581" s="226"/>
      <c r="G581" s="376"/>
      <c r="H581" s="226"/>
      <c r="I581" s="237"/>
      <c r="J581" s="9"/>
    </row>
    <row r="582" spans="1:10" x14ac:dyDescent="0.35">
      <c r="A582" s="189"/>
      <c r="B582" s="542"/>
      <c r="C582" s="8"/>
      <c r="D582" s="8"/>
      <c r="E582" s="236"/>
      <c r="F582" s="226"/>
      <c r="G582" s="376"/>
      <c r="H582" s="226"/>
      <c r="I582" s="237"/>
      <c r="J582" s="9"/>
    </row>
    <row r="583" spans="1:10" x14ac:dyDescent="0.35">
      <c r="A583" s="189"/>
      <c r="B583" s="542"/>
      <c r="C583" s="8"/>
      <c r="D583" s="8"/>
      <c r="E583" s="236"/>
      <c r="F583" s="226"/>
      <c r="G583" s="376"/>
      <c r="H583" s="226"/>
      <c r="I583" s="237"/>
      <c r="J583" s="9"/>
    </row>
    <row r="584" spans="1:10" x14ac:dyDescent="0.35">
      <c r="A584" s="189"/>
      <c r="B584" s="542"/>
      <c r="C584" s="8"/>
      <c r="D584" s="8"/>
      <c r="E584" s="236"/>
      <c r="F584" s="226"/>
      <c r="G584" s="376"/>
      <c r="H584" s="226"/>
      <c r="I584" s="237"/>
      <c r="J584" s="9"/>
    </row>
    <row r="585" spans="1:10" x14ac:dyDescent="0.35">
      <c r="A585" s="189"/>
      <c r="B585" s="542"/>
      <c r="C585" s="8"/>
      <c r="D585" s="8"/>
      <c r="E585" s="236"/>
      <c r="F585" s="226"/>
      <c r="G585" s="376"/>
      <c r="H585" s="226"/>
      <c r="I585" s="237"/>
      <c r="J585" s="9"/>
    </row>
    <row r="586" spans="1:10" x14ac:dyDescent="0.35">
      <c r="A586" s="189"/>
      <c r="B586" s="542"/>
      <c r="C586" s="8"/>
      <c r="D586" s="8"/>
      <c r="E586" s="236"/>
      <c r="F586" s="226"/>
      <c r="G586" s="376"/>
      <c r="H586" s="226"/>
      <c r="I586" s="237"/>
      <c r="J586" s="9"/>
    </row>
    <row r="587" spans="1:10" x14ac:dyDescent="0.35">
      <c r="A587" s="189"/>
      <c r="B587" s="541"/>
      <c r="C587" s="8"/>
      <c r="D587" s="8"/>
      <c r="E587" s="236"/>
      <c r="F587" s="226"/>
      <c r="G587" s="376"/>
      <c r="H587" s="226"/>
      <c r="I587" s="237"/>
      <c r="J587" s="9"/>
    </row>
    <row r="588" spans="1:10" x14ac:dyDescent="0.35">
      <c r="A588" s="189"/>
      <c r="B588" s="542"/>
      <c r="C588" s="8"/>
      <c r="D588" s="8"/>
      <c r="E588" s="236"/>
      <c r="F588" s="226"/>
      <c r="G588" s="376"/>
      <c r="H588" s="226"/>
      <c r="I588" s="237"/>
      <c r="J588" s="9"/>
    </row>
    <row r="589" spans="1:10" x14ac:dyDescent="0.35">
      <c r="A589" s="189"/>
      <c r="B589" s="542"/>
      <c r="C589" s="8"/>
      <c r="D589" s="8"/>
      <c r="E589" s="236"/>
      <c r="F589" s="226"/>
      <c r="G589" s="376"/>
      <c r="H589" s="226"/>
      <c r="I589" s="237"/>
      <c r="J589" s="9"/>
    </row>
    <row r="590" spans="1:10" x14ac:dyDescent="0.35">
      <c r="A590" s="189"/>
      <c r="B590" s="542"/>
      <c r="C590" s="8"/>
      <c r="D590" s="8"/>
      <c r="E590" s="236"/>
      <c r="F590" s="226"/>
      <c r="G590" s="376"/>
      <c r="H590" s="226"/>
      <c r="I590" s="237"/>
      <c r="J590" s="9"/>
    </row>
    <row r="591" spans="1:10" x14ac:dyDescent="0.35">
      <c r="A591" s="189"/>
      <c r="B591" s="542"/>
      <c r="C591" s="8"/>
      <c r="D591" s="8"/>
      <c r="E591" s="236"/>
      <c r="F591" s="226"/>
      <c r="G591" s="376"/>
      <c r="H591" s="226"/>
      <c r="I591" s="237"/>
      <c r="J591" s="9"/>
    </row>
    <row r="592" spans="1:10" x14ac:dyDescent="0.35">
      <c r="A592" s="189"/>
      <c r="B592" s="542"/>
      <c r="C592" s="8"/>
      <c r="D592" s="8"/>
      <c r="E592" s="236"/>
      <c r="F592" s="226"/>
      <c r="G592" s="376"/>
      <c r="H592" s="226"/>
      <c r="I592" s="237"/>
      <c r="J592" s="9"/>
    </row>
    <row r="593" spans="1:10" x14ac:dyDescent="0.35">
      <c r="A593" s="189"/>
      <c r="B593" s="542"/>
      <c r="C593" s="8"/>
      <c r="D593" s="8"/>
      <c r="E593" s="236"/>
      <c r="F593" s="226"/>
      <c r="G593" s="376"/>
      <c r="H593" s="226"/>
      <c r="I593" s="237"/>
      <c r="J593" s="9"/>
    </row>
    <row r="594" spans="1:10" x14ac:dyDescent="0.35">
      <c r="A594" s="189"/>
      <c r="B594" s="542"/>
      <c r="C594" s="8"/>
      <c r="D594" s="8"/>
      <c r="E594" s="236"/>
      <c r="F594" s="226"/>
      <c r="G594" s="376"/>
      <c r="H594" s="226"/>
      <c r="I594" s="237"/>
      <c r="J594" s="9"/>
    </row>
    <row r="595" spans="1:10" x14ac:dyDescent="0.35">
      <c r="A595" s="189"/>
      <c r="B595" s="542"/>
      <c r="C595" s="8"/>
      <c r="D595" s="8"/>
      <c r="E595" s="236"/>
      <c r="F595" s="226"/>
      <c r="G595" s="376"/>
      <c r="H595" s="226"/>
      <c r="I595" s="237"/>
      <c r="J595" s="9"/>
    </row>
    <row r="596" spans="1:10" x14ac:dyDescent="0.35">
      <c r="A596" s="189"/>
      <c r="B596" s="542"/>
      <c r="C596" s="8"/>
      <c r="D596" s="8"/>
      <c r="E596" s="236"/>
      <c r="F596" s="226"/>
      <c r="G596" s="376"/>
      <c r="H596" s="226"/>
      <c r="I596" s="237"/>
      <c r="J596" s="9"/>
    </row>
    <row r="597" spans="1:10" x14ac:dyDescent="0.35">
      <c r="A597" s="189"/>
      <c r="B597" s="542"/>
      <c r="C597" s="8"/>
      <c r="D597" s="8"/>
      <c r="E597" s="236"/>
      <c r="F597" s="226"/>
      <c r="G597" s="376"/>
      <c r="H597" s="226"/>
      <c r="I597" s="237"/>
      <c r="J597" s="9"/>
    </row>
    <row r="598" spans="1:10" x14ac:dyDescent="0.35">
      <c r="A598" s="189"/>
      <c r="B598" s="542"/>
      <c r="C598" s="8"/>
      <c r="D598" s="8"/>
      <c r="E598" s="236"/>
      <c r="F598" s="226"/>
      <c r="G598" s="376"/>
      <c r="H598" s="226"/>
      <c r="I598" s="237"/>
      <c r="J598" s="9"/>
    </row>
    <row r="599" spans="1:10" x14ac:dyDescent="0.35">
      <c r="A599" s="189"/>
      <c r="B599" s="542"/>
      <c r="C599" s="8"/>
      <c r="D599" s="8"/>
      <c r="E599" s="236"/>
      <c r="F599" s="226"/>
      <c r="G599" s="376"/>
      <c r="H599" s="226"/>
      <c r="I599" s="237"/>
      <c r="J599" s="9"/>
    </row>
    <row r="600" spans="1:10" x14ac:dyDescent="0.35">
      <c r="A600" s="189"/>
      <c r="B600" s="542"/>
      <c r="C600" s="8"/>
      <c r="D600" s="8"/>
      <c r="E600" s="236"/>
      <c r="F600" s="226"/>
      <c r="G600" s="376"/>
      <c r="H600" s="226"/>
      <c r="I600" s="237"/>
      <c r="J600" s="9"/>
    </row>
    <row r="601" spans="1:10" x14ac:dyDescent="0.35">
      <c r="A601" s="189"/>
      <c r="B601" s="542"/>
      <c r="C601" s="8"/>
      <c r="D601" s="8"/>
      <c r="E601" s="236"/>
      <c r="F601" s="226"/>
      <c r="G601" s="376"/>
      <c r="H601" s="226"/>
      <c r="I601" s="237"/>
      <c r="J601" s="9"/>
    </row>
    <row r="602" spans="1:10" x14ac:dyDescent="0.35">
      <c r="A602" s="189"/>
      <c r="B602" s="542"/>
      <c r="C602" s="8"/>
      <c r="D602" s="8"/>
      <c r="E602" s="236"/>
      <c r="F602" s="226"/>
      <c r="G602" s="376"/>
      <c r="H602" s="226"/>
      <c r="I602" s="237"/>
      <c r="J602" s="9"/>
    </row>
    <row r="603" spans="1:10" x14ac:dyDescent="0.35">
      <c r="A603" s="189"/>
      <c r="B603" s="542"/>
      <c r="C603" s="8"/>
      <c r="D603" s="8"/>
      <c r="E603" s="236"/>
      <c r="F603" s="226"/>
      <c r="G603" s="376"/>
      <c r="H603" s="226"/>
      <c r="I603" s="237"/>
      <c r="J603" s="9"/>
    </row>
    <row r="604" spans="1:10" x14ac:dyDescent="0.35">
      <c r="A604" s="189"/>
      <c r="B604" s="541"/>
      <c r="C604" s="8"/>
      <c r="D604" s="8"/>
      <c r="E604" s="236"/>
      <c r="F604" s="226"/>
      <c r="G604" s="376"/>
      <c r="H604" s="226"/>
      <c r="I604" s="237"/>
      <c r="J604" s="9"/>
    </row>
    <row r="605" spans="1:10" x14ac:dyDescent="0.35">
      <c r="A605" s="189"/>
      <c r="B605" s="542"/>
      <c r="C605" s="8"/>
      <c r="D605" s="8"/>
      <c r="E605" s="236"/>
      <c r="F605" s="226"/>
      <c r="G605" s="376"/>
      <c r="H605" s="226"/>
      <c r="I605" s="237"/>
      <c r="J605" s="9"/>
    </row>
    <row r="606" spans="1:10" x14ac:dyDescent="0.35">
      <c r="A606" s="189"/>
      <c r="B606" s="542"/>
      <c r="C606" s="8"/>
      <c r="D606" s="8"/>
      <c r="E606" s="236"/>
      <c r="F606" s="226"/>
      <c r="G606" s="376"/>
      <c r="H606" s="226"/>
      <c r="I606" s="237"/>
      <c r="J606" s="9"/>
    </row>
    <row r="607" spans="1:10" x14ac:dyDescent="0.35">
      <c r="A607" s="189"/>
      <c r="B607" s="542"/>
      <c r="C607" s="8"/>
      <c r="D607" s="8"/>
      <c r="E607" s="236"/>
      <c r="F607" s="226"/>
      <c r="G607" s="376"/>
      <c r="H607" s="226"/>
      <c r="I607" s="237"/>
      <c r="J607" s="9"/>
    </row>
    <row r="608" spans="1:10" x14ac:dyDescent="0.35">
      <c r="A608" s="189"/>
      <c r="B608" s="542"/>
      <c r="C608" s="8"/>
      <c r="D608" s="8"/>
      <c r="E608" s="236"/>
      <c r="F608" s="226"/>
      <c r="G608" s="376"/>
      <c r="H608" s="226"/>
      <c r="I608" s="237"/>
      <c r="J608" s="9"/>
    </row>
    <row r="609" spans="1:10" x14ac:dyDescent="0.35">
      <c r="A609" s="189"/>
      <c r="B609" s="542"/>
      <c r="C609" s="8"/>
      <c r="D609" s="8"/>
      <c r="E609" s="236"/>
      <c r="F609" s="226"/>
      <c r="G609" s="376"/>
      <c r="H609" s="226"/>
      <c r="I609" s="237"/>
      <c r="J609" s="9"/>
    </row>
    <row r="610" spans="1:10" x14ac:dyDescent="0.35">
      <c r="A610" s="189"/>
      <c r="B610" s="542"/>
      <c r="C610" s="8"/>
      <c r="D610" s="8"/>
      <c r="E610" s="236"/>
      <c r="F610" s="226"/>
      <c r="G610" s="376"/>
      <c r="H610" s="226"/>
      <c r="I610" s="237"/>
      <c r="J610" s="9"/>
    </row>
    <row r="611" spans="1:10" x14ac:dyDescent="0.35">
      <c r="A611" s="189"/>
      <c r="B611" s="542"/>
      <c r="C611" s="8"/>
      <c r="D611" s="8"/>
      <c r="E611" s="236"/>
      <c r="F611" s="226"/>
      <c r="G611" s="376"/>
      <c r="H611" s="226"/>
      <c r="I611" s="237"/>
      <c r="J611" s="9"/>
    </row>
    <row r="612" spans="1:10" x14ac:dyDescent="0.35">
      <c r="A612" s="189"/>
      <c r="B612" s="542"/>
      <c r="C612" s="8"/>
      <c r="D612" s="8"/>
      <c r="E612" s="236"/>
      <c r="F612" s="226"/>
      <c r="G612" s="376"/>
      <c r="H612" s="226"/>
      <c r="I612" s="237"/>
      <c r="J612" s="9"/>
    </row>
    <row r="613" spans="1:10" x14ac:dyDescent="0.35">
      <c r="A613" s="189"/>
      <c r="B613" s="542"/>
      <c r="C613" s="8"/>
      <c r="D613" s="8"/>
      <c r="E613" s="236"/>
      <c r="F613" s="226"/>
      <c r="G613" s="376"/>
      <c r="H613" s="226"/>
      <c r="I613" s="237"/>
      <c r="J613" s="9"/>
    </row>
    <row r="614" spans="1:10" x14ac:dyDescent="0.35">
      <c r="A614" s="189"/>
      <c r="B614" s="542"/>
      <c r="C614" s="8"/>
      <c r="D614" s="8"/>
      <c r="E614" s="236"/>
      <c r="F614" s="226"/>
      <c r="G614" s="376"/>
      <c r="H614" s="226"/>
      <c r="I614" s="237"/>
      <c r="J614" s="9"/>
    </row>
    <row r="615" spans="1:10" x14ac:dyDescent="0.35">
      <c r="A615" s="189"/>
      <c r="B615" s="542"/>
      <c r="C615" s="8"/>
      <c r="D615" s="8"/>
      <c r="E615" s="236"/>
      <c r="F615" s="226"/>
      <c r="G615" s="376"/>
      <c r="H615" s="226"/>
      <c r="I615" s="237"/>
      <c r="J615" s="9"/>
    </row>
    <row r="616" spans="1:10" x14ac:dyDescent="0.35">
      <c r="A616" s="189"/>
      <c r="B616" s="542"/>
      <c r="C616" s="8"/>
      <c r="D616" s="8"/>
      <c r="E616" s="236"/>
      <c r="F616" s="226"/>
      <c r="G616" s="376"/>
      <c r="H616" s="226"/>
      <c r="I616" s="237"/>
      <c r="J616" s="9"/>
    </row>
    <row r="617" spans="1:10" x14ac:dyDescent="0.35">
      <c r="A617" s="189"/>
      <c r="B617" s="542"/>
      <c r="C617" s="8"/>
      <c r="D617" s="8"/>
      <c r="E617" s="236"/>
      <c r="F617" s="226"/>
      <c r="G617" s="376"/>
      <c r="H617" s="226"/>
      <c r="I617" s="237"/>
      <c r="J617" s="9"/>
    </row>
    <row r="618" spans="1:10" x14ac:dyDescent="0.35">
      <c r="A618" s="189"/>
      <c r="B618" s="542"/>
      <c r="C618" s="8"/>
      <c r="D618" s="8"/>
      <c r="E618" s="236"/>
      <c r="F618" s="226"/>
      <c r="G618" s="376"/>
      <c r="H618" s="226"/>
      <c r="I618" s="237"/>
      <c r="J618" s="9"/>
    </row>
    <row r="619" spans="1:10" x14ac:dyDescent="0.35">
      <c r="A619" s="189"/>
      <c r="B619" s="542"/>
      <c r="C619" s="8"/>
      <c r="D619" s="8"/>
      <c r="E619" s="236"/>
      <c r="F619" s="226"/>
      <c r="G619" s="376"/>
      <c r="H619" s="226"/>
      <c r="I619" s="237"/>
      <c r="J619" s="9"/>
    </row>
    <row r="620" spans="1:10" x14ac:dyDescent="0.35">
      <c r="A620" s="189"/>
      <c r="B620" s="542"/>
      <c r="C620" s="8"/>
      <c r="D620" s="8"/>
      <c r="E620" s="236"/>
      <c r="F620" s="226"/>
      <c r="G620" s="376"/>
      <c r="H620" s="226"/>
      <c r="I620" s="237"/>
      <c r="J620" s="9"/>
    </row>
    <row r="621" spans="1:10" x14ac:dyDescent="0.35">
      <c r="A621" s="189"/>
      <c r="B621" s="541"/>
      <c r="C621" s="8"/>
      <c r="D621" s="8"/>
      <c r="E621" s="236"/>
      <c r="F621" s="226"/>
      <c r="G621" s="376"/>
      <c r="H621" s="226"/>
      <c r="I621" s="237"/>
      <c r="J621" s="9"/>
    </row>
    <row r="622" spans="1:10" x14ac:dyDescent="0.35">
      <c r="A622" s="189"/>
      <c r="B622" s="542"/>
      <c r="C622" s="8"/>
      <c r="D622" s="8"/>
      <c r="E622" s="236"/>
      <c r="F622" s="226"/>
      <c r="G622" s="376"/>
      <c r="H622" s="226"/>
      <c r="I622" s="237"/>
      <c r="J622" s="9"/>
    </row>
    <row r="623" spans="1:10" x14ac:dyDescent="0.35">
      <c r="A623" s="189"/>
      <c r="B623" s="542"/>
      <c r="C623" s="8"/>
      <c r="D623" s="8"/>
      <c r="E623" s="236"/>
      <c r="F623" s="226"/>
      <c r="G623" s="376"/>
      <c r="H623" s="226"/>
      <c r="I623" s="237"/>
      <c r="J623" s="9"/>
    </row>
    <row r="624" spans="1:10" x14ac:dyDescent="0.35">
      <c r="A624" s="189"/>
      <c r="B624" s="542"/>
      <c r="C624" s="8"/>
      <c r="D624" s="8"/>
      <c r="E624" s="236"/>
      <c r="F624" s="226"/>
      <c r="G624" s="376"/>
      <c r="H624" s="226"/>
      <c r="I624" s="237"/>
      <c r="J624" s="9"/>
    </row>
    <row r="625" spans="1:10" x14ac:dyDescent="0.35">
      <c r="A625" s="189"/>
      <c r="B625" s="542"/>
      <c r="C625" s="8"/>
      <c r="D625" s="8"/>
      <c r="E625" s="236"/>
      <c r="F625" s="226"/>
      <c r="G625" s="376"/>
      <c r="H625" s="226"/>
      <c r="I625" s="237"/>
      <c r="J625" s="9"/>
    </row>
    <row r="626" spans="1:10" x14ac:dyDescent="0.35">
      <c r="A626" s="189"/>
      <c r="B626" s="542"/>
      <c r="C626" s="8"/>
      <c r="D626" s="8"/>
      <c r="E626" s="236"/>
      <c r="F626" s="226"/>
      <c r="G626" s="376"/>
      <c r="H626" s="226"/>
      <c r="I626" s="237"/>
      <c r="J626" s="9"/>
    </row>
    <row r="627" spans="1:10" x14ac:dyDescent="0.35">
      <c r="A627" s="189"/>
      <c r="B627" s="542"/>
      <c r="C627" s="8"/>
      <c r="D627" s="8"/>
      <c r="E627" s="236"/>
      <c r="F627" s="226"/>
      <c r="G627" s="376"/>
      <c r="H627" s="226"/>
      <c r="I627" s="237"/>
      <c r="J627" s="9"/>
    </row>
    <row r="628" spans="1:10" x14ac:dyDescent="0.35">
      <c r="A628" s="189"/>
      <c r="B628" s="542"/>
      <c r="C628" s="8"/>
      <c r="D628" s="8"/>
      <c r="E628" s="236"/>
      <c r="F628" s="226"/>
      <c r="G628" s="376"/>
      <c r="H628" s="226"/>
      <c r="I628" s="237"/>
      <c r="J628" s="9"/>
    </row>
    <row r="629" spans="1:10" x14ac:dyDescent="0.35">
      <c r="A629" s="189"/>
      <c r="B629" s="542"/>
      <c r="C629" s="8"/>
      <c r="D629" s="8"/>
      <c r="E629" s="236"/>
      <c r="F629" s="226"/>
      <c r="G629" s="376"/>
      <c r="H629" s="226"/>
      <c r="I629" s="237"/>
      <c r="J629" s="9"/>
    </row>
    <row r="630" spans="1:10" x14ac:dyDescent="0.35">
      <c r="A630" s="189"/>
      <c r="B630" s="542"/>
      <c r="C630" s="8"/>
      <c r="D630" s="8"/>
      <c r="E630" s="236"/>
      <c r="F630" s="226"/>
      <c r="G630" s="376"/>
      <c r="H630" s="226"/>
      <c r="I630" s="237"/>
      <c r="J630" s="9"/>
    </row>
    <row r="631" spans="1:10" x14ac:dyDescent="0.35">
      <c r="A631" s="189"/>
      <c r="B631" s="542"/>
      <c r="C631" s="8"/>
      <c r="D631" s="8"/>
      <c r="E631" s="236"/>
      <c r="F631" s="226"/>
      <c r="G631" s="376"/>
      <c r="H631" s="226"/>
      <c r="I631" s="237"/>
      <c r="J631" s="9"/>
    </row>
    <row r="632" spans="1:10" x14ac:dyDescent="0.35">
      <c r="A632" s="189"/>
      <c r="B632" s="542"/>
      <c r="C632" s="8"/>
      <c r="D632" s="8"/>
      <c r="E632" s="236"/>
      <c r="F632" s="226"/>
      <c r="G632" s="376"/>
      <c r="H632" s="226"/>
      <c r="I632" s="237"/>
      <c r="J632" s="9"/>
    </row>
    <row r="633" spans="1:10" x14ac:dyDescent="0.35">
      <c r="A633" s="189"/>
      <c r="B633" s="542"/>
      <c r="C633" s="8"/>
      <c r="D633" s="8"/>
      <c r="E633" s="236"/>
      <c r="F633" s="226"/>
      <c r="G633" s="376"/>
      <c r="H633" s="226"/>
      <c r="I633" s="237"/>
      <c r="J633" s="9"/>
    </row>
    <row r="634" spans="1:10" x14ac:dyDescent="0.35">
      <c r="A634" s="189"/>
      <c r="B634" s="542"/>
      <c r="C634" s="8"/>
      <c r="D634" s="8"/>
      <c r="E634" s="236"/>
      <c r="F634" s="226"/>
      <c r="G634" s="376"/>
      <c r="H634" s="226"/>
      <c r="I634" s="237"/>
      <c r="J634" s="9"/>
    </row>
    <row r="635" spans="1:10" x14ac:dyDescent="0.35">
      <c r="A635" s="189"/>
      <c r="B635" s="542"/>
      <c r="C635" s="8"/>
      <c r="D635" s="8"/>
      <c r="E635" s="236"/>
      <c r="F635" s="226"/>
      <c r="G635" s="376"/>
      <c r="H635" s="226"/>
      <c r="I635" s="237"/>
      <c r="J635" s="9"/>
    </row>
    <row r="636" spans="1:10" x14ac:dyDescent="0.35">
      <c r="A636" s="189"/>
      <c r="B636" s="542"/>
      <c r="C636" s="8"/>
      <c r="D636" s="8"/>
      <c r="E636" s="236"/>
      <c r="F636" s="226"/>
      <c r="G636" s="376"/>
      <c r="H636" s="226"/>
      <c r="I636" s="237"/>
      <c r="J636" s="9"/>
    </row>
    <row r="637" spans="1:10" x14ac:dyDescent="0.35">
      <c r="A637" s="189"/>
      <c r="B637" s="542"/>
      <c r="C637" s="8"/>
      <c r="D637" s="8"/>
      <c r="E637" s="236"/>
      <c r="F637" s="226"/>
      <c r="G637" s="376"/>
      <c r="H637" s="226"/>
      <c r="I637" s="237"/>
      <c r="J637" s="9"/>
    </row>
    <row r="638" spans="1:10" x14ac:dyDescent="0.35">
      <c r="A638" s="189"/>
      <c r="B638" s="541"/>
      <c r="C638" s="8"/>
      <c r="D638" s="8"/>
      <c r="E638" s="236"/>
      <c r="F638" s="226"/>
      <c r="G638" s="376"/>
      <c r="H638" s="226"/>
      <c r="I638" s="237"/>
      <c r="J638" s="9"/>
    </row>
    <row r="639" spans="1:10" x14ac:dyDescent="0.35">
      <c r="A639" s="189"/>
      <c r="B639" s="542"/>
      <c r="C639" s="8"/>
      <c r="D639" s="8"/>
      <c r="E639" s="236"/>
      <c r="F639" s="226"/>
      <c r="G639" s="376"/>
      <c r="H639" s="226"/>
      <c r="I639" s="237"/>
      <c r="J639" s="9"/>
    </row>
    <row r="640" spans="1:10" x14ac:dyDescent="0.35">
      <c r="A640" s="189"/>
      <c r="B640" s="542"/>
      <c r="C640" s="8"/>
      <c r="D640" s="8"/>
      <c r="E640" s="236"/>
      <c r="F640" s="226"/>
      <c r="G640" s="376"/>
      <c r="H640" s="226"/>
      <c r="I640" s="237"/>
      <c r="J640" s="9"/>
    </row>
    <row r="641" spans="1:10" x14ac:dyDescent="0.35">
      <c r="A641" s="189"/>
      <c r="B641" s="542"/>
      <c r="C641" s="8"/>
      <c r="D641" s="8"/>
      <c r="E641" s="236"/>
      <c r="F641" s="226"/>
      <c r="G641" s="376"/>
      <c r="H641" s="226"/>
      <c r="I641" s="237"/>
      <c r="J641" s="9"/>
    </row>
    <row r="642" spans="1:10" x14ac:dyDescent="0.35">
      <c r="A642" s="189"/>
      <c r="B642" s="542"/>
      <c r="C642" s="8"/>
      <c r="D642" s="8"/>
      <c r="E642" s="236"/>
      <c r="F642" s="226"/>
      <c r="G642" s="376"/>
      <c r="H642" s="226"/>
      <c r="I642" s="237"/>
      <c r="J642" s="9"/>
    </row>
    <row r="643" spans="1:10" x14ac:dyDescent="0.35">
      <c r="A643" s="189"/>
      <c r="B643" s="542"/>
      <c r="C643" s="8"/>
      <c r="D643" s="8"/>
      <c r="E643" s="236"/>
      <c r="F643" s="226"/>
      <c r="G643" s="376"/>
      <c r="H643" s="226"/>
      <c r="I643" s="237"/>
      <c r="J643" s="9"/>
    </row>
    <row r="644" spans="1:10" x14ac:dyDescent="0.35">
      <c r="A644" s="189"/>
      <c r="B644" s="542"/>
      <c r="C644" s="8"/>
      <c r="D644" s="8"/>
      <c r="E644" s="236"/>
      <c r="F644" s="226"/>
      <c r="G644" s="376"/>
      <c r="H644" s="226"/>
      <c r="I644" s="237"/>
      <c r="J644" s="9"/>
    </row>
    <row r="645" spans="1:10" x14ac:dyDescent="0.35">
      <c r="A645" s="189"/>
      <c r="B645" s="542"/>
      <c r="C645" s="8"/>
      <c r="D645" s="8"/>
      <c r="E645" s="236"/>
      <c r="F645" s="226"/>
      <c r="G645" s="376"/>
      <c r="H645" s="226"/>
      <c r="I645" s="237"/>
      <c r="J645" s="9"/>
    </row>
    <row r="646" spans="1:10" x14ac:dyDescent="0.35">
      <c r="A646" s="189"/>
      <c r="B646" s="542"/>
      <c r="C646" s="8"/>
      <c r="D646" s="8"/>
      <c r="E646" s="236"/>
      <c r="F646" s="226"/>
      <c r="G646" s="376"/>
      <c r="H646" s="226"/>
      <c r="I646" s="237"/>
      <c r="J646" s="9"/>
    </row>
    <row r="647" spans="1:10" x14ac:dyDescent="0.35">
      <c r="A647" s="189"/>
      <c r="B647" s="542"/>
      <c r="C647" s="8"/>
      <c r="D647" s="8"/>
      <c r="E647" s="236"/>
      <c r="F647" s="226"/>
      <c r="G647" s="376"/>
      <c r="H647" s="226"/>
      <c r="I647" s="237"/>
      <c r="J647" s="9"/>
    </row>
    <row r="648" spans="1:10" x14ac:dyDescent="0.35">
      <c r="A648" s="189"/>
      <c r="B648" s="542"/>
      <c r="C648" s="8"/>
      <c r="D648" s="8"/>
      <c r="E648" s="236"/>
      <c r="F648" s="226"/>
      <c r="G648" s="376"/>
      <c r="H648" s="226"/>
      <c r="I648" s="237"/>
      <c r="J648" s="9"/>
    </row>
    <row r="649" spans="1:10" x14ac:dyDescent="0.35">
      <c r="A649" s="189"/>
      <c r="B649" s="542"/>
      <c r="C649" s="8"/>
      <c r="D649" s="8"/>
      <c r="E649" s="236"/>
      <c r="F649" s="226"/>
      <c r="G649" s="376"/>
      <c r="H649" s="226"/>
      <c r="I649" s="237"/>
      <c r="J649" s="9"/>
    </row>
    <row r="650" spans="1:10" x14ac:dyDescent="0.35">
      <c r="A650" s="189"/>
      <c r="B650" s="542"/>
      <c r="C650" s="8"/>
      <c r="D650" s="8"/>
      <c r="E650" s="236"/>
      <c r="F650" s="226"/>
      <c r="G650" s="376"/>
      <c r="H650" s="226"/>
      <c r="I650" s="237"/>
      <c r="J650" s="9"/>
    </row>
    <row r="651" spans="1:10" x14ac:dyDescent="0.35">
      <c r="A651" s="189"/>
      <c r="B651" s="542"/>
      <c r="C651" s="8"/>
      <c r="D651" s="8"/>
      <c r="E651" s="236"/>
      <c r="F651" s="226"/>
      <c r="G651" s="376"/>
      <c r="H651" s="226"/>
      <c r="I651" s="237"/>
      <c r="J651" s="9"/>
    </row>
    <row r="652" spans="1:10" x14ac:dyDescent="0.35">
      <c r="A652" s="189"/>
      <c r="B652" s="542"/>
      <c r="C652" s="8"/>
      <c r="D652" s="8"/>
      <c r="E652" s="236"/>
      <c r="F652" s="226"/>
      <c r="G652" s="376"/>
      <c r="H652" s="226"/>
      <c r="I652" s="237"/>
      <c r="J652" s="9"/>
    </row>
    <row r="653" spans="1:10" x14ac:dyDescent="0.35">
      <c r="A653" s="189"/>
      <c r="B653" s="542"/>
      <c r="C653" s="8"/>
      <c r="D653" s="8"/>
      <c r="E653" s="236"/>
      <c r="F653" s="226"/>
      <c r="G653" s="376"/>
      <c r="H653" s="226"/>
      <c r="I653" s="237"/>
      <c r="J653" s="9"/>
    </row>
    <row r="654" spans="1:10" x14ac:dyDescent="0.35">
      <c r="A654" s="189"/>
      <c r="B654" s="542"/>
      <c r="C654" s="8"/>
      <c r="D654" s="8"/>
      <c r="E654" s="236"/>
      <c r="F654" s="226"/>
      <c r="G654" s="376"/>
      <c r="H654" s="226"/>
      <c r="I654" s="237"/>
      <c r="J654" s="9"/>
    </row>
    <row r="655" spans="1:10" x14ac:dyDescent="0.35">
      <c r="A655" s="189"/>
      <c r="B655" s="541"/>
      <c r="C655" s="8"/>
      <c r="D655" s="8"/>
      <c r="E655" s="236"/>
      <c r="F655" s="226"/>
      <c r="G655" s="376"/>
      <c r="H655" s="226"/>
      <c r="I655" s="237"/>
      <c r="J655" s="9"/>
    </row>
    <row r="656" spans="1:10" x14ac:dyDescent="0.35">
      <c r="A656" s="189"/>
      <c r="B656" s="542"/>
      <c r="C656" s="8"/>
      <c r="D656" s="8"/>
      <c r="E656" s="236"/>
      <c r="F656" s="226"/>
      <c r="G656" s="376"/>
      <c r="H656" s="226"/>
      <c r="I656" s="237"/>
      <c r="J656" s="9"/>
    </row>
    <row r="657" spans="1:10" x14ac:dyDescent="0.35">
      <c r="A657" s="189"/>
      <c r="B657" s="542"/>
      <c r="C657" s="8"/>
      <c r="D657" s="8"/>
      <c r="E657" s="236"/>
      <c r="F657" s="226"/>
      <c r="G657" s="376"/>
      <c r="H657" s="226"/>
      <c r="I657" s="237"/>
      <c r="J657" s="9"/>
    </row>
    <row r="658" spans="1:10" x14ac:dyDescent="0.35">
      <c r="A658" s="189"/>
      <c r="B658" s="542"/>
      <c r="C658" s="8"/>
      <c r="D658" s="8"/>
      <c r="E658" s="236"/>
      <c r="F658" s="226"/>
      <c r="G658" s="376"/>
      <c r="H658" s="226"/>
      <c r="I658" s="237"/>
      <c r="J658" s="9"/>
    </row>
    <row r="659" spans="1:10" x14ac:dyDescent="0.35">
      <c r="A659" s="189"/>
      <c r="B659" s="542"/>
      <c r="C659" s="8"/>
      <c r="D659" s="8"/>
      <c r="E659" s="236"/>
      <c r="F659" s="226"/>
      <c r="G659" s="376"/>
      <c r="H659" s="226"/>
      <c r="I659" s="237"/>
      <c r="J659" s="9"/>
    </row>
    <row r="660" spans="1:10" x14ac:dyDescent="0.35">
      <c r="A660" s="189"/>
      <c r="B660" s="542"/>
      <c r="C660" s="8"/>
      <c r="D660" s="8"/>
      <c r="E660" s="236"/>
      <c r="F660" s="226"/>
      <c r="G660" s="376"/>
      <c r="H660" s="226"/>
      <c r="I660" s="237"/>
      <c r="J660" s="9"/>
    </row>
    <row r="661" spans="1:10" x14ac:dyDescent="0.35">
      <c r="A661" s="189"/>
      <c r="B661" s="542"/>
      <c r="C661" s="8"/>
      <c r="D661" s="8"/>
      <c r="E661" s="236"/>
      <c r="F661" s="226"/>
      <c r="G661" s="376"/>
      <c r="H661" s="226"/>
      <c r="I661" s="237"/>
      <c r="J661" s="9"/>
    </row>
    <row r="662" spans="1:10" x14ac:dyDescent="0.35">
      <c r="A662" s="189"/>
      <c r="B662" s="542"/>
      <c r="C662" s="8"/>
      <c r="D662" s="8"/>
      <c r="E662" s="236"/>
      <c r="F662" s="226"/>
      <c r="G662" s="376"/>
      <c r="H662" s="226"/>
      <c r="I662" s="237"/>
      <c r="J662" s="9"/>
    </row>
    <row r="663" spans="1:10" x14ac:dyDescent="0.35">
      <c r="A663" s="189"/>
      <c r="B663" s="542"/>
      <c r="C663" s="8"/>
      <c r="D663" s="8"/>
      <c r="E663" s="236"/>
      <c r="F663" s="226"/>
      <c r="G663" s="376"/>
      <c r="H663" s="226"/>
      <c r="I663" s="237"/>
      <c r="J663" s="9"/>
    </row>
    <row r="664" spans="1:10" x14ac:dyDescent="0.35">
      <c r="A664" s="189"/>
      <c r="B664" s="542"/>
      <c r="C664" s="8"/>
      <c r="D664" s="8"/>
      <c r="E664" s="236"/>
      <c r="F664" s="226"/>
      <c r="G664" s="376"/>
      <c r="H664" s="226"/>
      <c r="I664" s="237"/>
      <c r="J664" s="9"/>
    </row>
    <row r="665" spans="1:10" x14ac:dyDescent="0.35">
      <c r="A665" s="189"/>
      <c r="B665" s="542"/>
      <c r="C665" s="8"/>
      <c r="D665" s="8"/>
      <c r="E665" s="236"/>
      <c r="F665" s="226"/>
      <c r="G665" s="376"/>
      <c r="H665" s="226"/>
      <c r="I665" s="237"/>
      <c r="J665" s="9"/>
    </row>
    <row r="666" spans="1:10" x14ac:dyDescent="0.35">
      <c r="A666" s="189"/>
      <c r="B666" s="542"/>
      <c r="C666" s="8"/>
      <c r="D666" s="8"/>
      <c r="E666" s="236"/>
      <c r="F666" s="226"/>
      <c r="G666" s="376"/>
      <c r="H666" s="226"/>
      <c r="I666" s="237"/>
      <c r="J666" s="9"/>
    </row>
    <row r="667" spans="1:10" x14ac:dyDescent="0.35">
      <c r="A667" s="189"/>
      <c r="B667" s="542"/>
      <c r="C667" s="8"/>
      <c r="D667" s="8"/>
      <c r="E667" s="236"/>
      <c r="F667" s="226"/>
      <c r="G667" s="376"/>
      <c r="H667" s="226"/>
      <c r="I667" s="237"/>
      <c r="J667" s="9"/>
    </row>
    <row r="668" spans="1:10" x14ac:dyDescent="0.35">
      <c r="A668" s="189"/>
      <c r="B668" s="542"/>
      <c r="C668" s="8"/>
      <c r="D668" s="8"/>
      <c r="E668" s="236"/>
      <c r="F668" s="226"/>
      <c r="G668" s="376"/>
      <c r="H668" s="226"/>
      <c r="I668" s="237"/>
      <c r="J668" s="9"/>
    </row>
    <row r="669" spans="1:10" x14ac:dyDescent="0.35">
      <c r="A669" s="189"/>
      <c r="B669" s="542"/>
      <c r="C669" s="8"/>
      <c r="D669" s="8"/>
      <c r="E669" s="236"/>
      <c r="F669" s="226"/>
      <c r="G669" s="376"/>
      <c r="H669" s="226"/>
      <c r="I669" s="237"/>
      <c r="J669" s="9"/>
    </row>
    <row r="670" spans="1:10" x14ac:dyDescent="0.35">
      <c r="A670" s="189"/>
      <c r="B670" s="542"/>
      <c r="C670" s="8"/>
      <c r="D670" s="8"/>
      <c r="E670" s="236"/>
      <c r="F670" s="226"/>
      <c r="G670" s="376"/>
      <c r="H670" s="226"/>
      <c r="I670" s="237"/>
      <c r="J670" s="9"/>
    </row>
    <row r="671" spans="1:10" x14ac:dyDescent="0.35">
      <c r="A671" s="189"/>
      <c r="B671" s="542"/>
      <c r="C671" s="8"/>
      <c r="D671" s="8"/>
      <c r="E671" s="236"/>
      <c r="F671" s="226"/>
      <c r="G671" s="376"/>
      <c r="H671" s="226"/>
      <c r="I671" s="237"/>
      <c r="J671" s="9"/>
    </row>
    <row r="672" spans="1:10" x14ac:dyDescent="0.35">
      <c r="A672" s="189"/>
      <c r="B672" s="541"/>
      <c r="C672" s="8"/>
      <c r="D672" s="8"/>
      <c r="E672" s="236"/>
      <c r="F672" s="226"/>
      <c r="G672" s="376"/>
      <c r="H672" s="226"/>
      <c r="I672" s="237"/>
      <c r="J672" s="9"/>
    </row>
    <row r="673" spans="1:10" x14ac:dyDescent="0.35">
      <c r="A673" s="189"/>
      <c r="B673" s="542"/>
      <c r="C673" s="8"/>
      <c r="D673" s="8"/>
      <c r="E673" s="236"/>
      <c r="F673" s="226"/>
      <c r="G673" s="376"/>
      <c r="H673" s="226"/>
      <c r="I673" s="237"/>
      <c r="J673" s="9"/>
    </row>
    <row r="674" spans="1:10" x14ac:dyDescent="0.35">
      <c r="A674" s="189"/>
      <c r="B674" s="542"/>
      <c r="C674" s="8"/>
      <c r="D674" s="8"/>
      <c r="E674" s="236"/>
      <c r="F674" s="226"/>
      <c r="G674" s="376"/>
      <c r="H674" s="226"/>
      <c r="I674" s="237"/>
      <c r="J674" s="9"/>
    </row>
    <row r="675" spans="1:10" x14ac:dyDescent="0.35">
      <c r="A675" s="189"/>
      <c r="B675" s="542"/>
      <c r="C675" s="8"/>
      <c r="D675" s="8"/>
      <c r="E675" s="236"/>
      <c r="F675" s="226"/>
      <c r="G675" s="376"/>
      <c r="H675" s="226"/>
      <c r="I675" s="237"/>
      <c r="J675" s="9"/>
    </row>
    <row r="676" spans="1:10" x14ac:dyDescent="0.35">
      <c r="A676" s="189"/>
      <c r="B676" s="542"/>
      <c r="C676" s="8"/>
      <c r="D676" s="8"/>
      <c r="E676" s="236"/>
      <c r="F676" s="226"/>
      <c r="G676" s="376"/>
      <c r="H676" s="226"/>
      <c r="I676" s="237"/>
      <c r="J676" s="9"/>
    </row>
    <row r="677" spans="1:10" x14ac:dyDescent="0.35">
      <c r="A677" s="189"/>
      <c r="B677" s="542"/>
      <c r="C677" s="8"/>
      <c r="D677" s="8"/>
      <c r="E677" s="236"/>
      <c r="F677" s="226"/>
      <c r="G677" s="376"/>
      <c r="H677" s="226"/>
      <c r="I677" s="237"/>
      <c r="J677" s="9"/>
    </row>
    <row r="678" spans="1:10" x14ac:dyDescent="0.35">
      <c r="A678" s="189"/>
      <c r="B678" s="542"/>
      <c r="C678" s="8"/>
      <c r="D678" s="8"/>
      <c r="E678" s="236"/>
      <c r="F678" s="226"/>
      <c r="G678" s="376"/>
      <c r="H678" s="226"/>
      <c r="I678" s="237"/>
      <c r="J678" s="9"/>
    </row>
    <row r="679" spans="1:10" x14ac:dyDescent="0.35">
      <c r="A679" s="189"/>
      <c r="B679" s="542"/>
      <c r="C679" s="8"/>
      <c r="D679" s="8"/>
      <c r="E679" s="236"/>
      <c r="F679" s="226"/>
      <c r="G679" s="376"/>
      <c r="H679" s="226"/>
      <c r="I679" s="237"/>
      <c r="J679" s="9"/>
    </row>
    <row r="680" spans="1:10" x14ac:dyDescent="0.35">
      <c r="A680" s="189"/>
      <c r="B680" s="542"/>
      <c r="C680" s="8"/>
      <c r="D680" s="8"/>
      <c r="E680" s="236"/>
      <c r="F680" s="226"/>
      <c r="G680" s="376"/>
      <c r="H680" s="226"/>
      <c r="I680" s="237"/>
      <c r="J680" s="9"/>
    </row>
    <row r="681" spans="1:10" x14ac:dyDescent="0.35">
      <c r="A681" s="189"/>
      <c r="B681" s="542"/>
      <c r="C681" s="8"/>
      <c r="D681" s="8"/>
      <c r="E681" s="236"/>
      <c r="F681" s="226"/>
      <c r="G681" s="376"/>
      <c r="H681" s="226"/>
      <c r="I681" s="237"/>
      <c r="J681" s="9"/>
    </row>
    <row r="682" spans="1:10" x14ac:dyDescent="0.35">
      <c r="A682" s="189"/>
      <c r="B682" s="542"/>
      <c r="C682" s="8"/>
      <c r="D682" s="8"/>
      <c r="E682" s="236"/>
      <c r="F682" s="226"/>
      <c r="G682" s="376"/>
      <c r="H682" s="226"/>
      <c r="I682" s="237"/>
      <c r="J682" s="9"/>
    </row>
    <row r="683" spans="1:10" x14ac:dyDescent="0.35">
      <c r="A683" s="189"/>
      <c r="B683" s="542"/>
      <c r="C683" s="8"/>
      <c r="D683" s="8"/>
      <c r="E683" s="236"/>
      <c r="F683" s="226"/>
      <c r="G683" s="376"/>
      <c r="H683" s="226"/>
      <c r="I683" s="237"/>
      <c r="J683" s="9"/>
    </row>
    <row r="684" spans="1:10" x14ac:dyDescent="0.35">
      <c r="A684" s="189"/>
      <c r="B684" s="542"/>
      <c r="C684" s="8"/>
      <c r="D684" s="8"/>
      <c r="E684" s="236"/>
      <c r="F684" s="226"/>
      <c r="G684" s="376"/>
      <c r="H684" s="226"/>
      <c r="I684" s="237"/>
      <c r="J684" s="9"/>
    </row>
    <row r="685" spans="1:10" x14ac:dyDescent="0.35">
      <c r="A685" s="189"/>
      <c r="B685" s="542"/>
      <c r="C685" s="8"/>
      <c r="D685" s="8"/>
      <c r="E685" s="236"/>
      <c r="F685" s="226"/>
      <c r="G685" s="376"/>
      <c r="H685" s="226"/>
      <c r="I685" s="237"/>
      <c r="J685" s="9"/>
    </row>
    <row r="686" spans="1:10" x14ac:dyDescent="0.35">
      <c r="A686" s="189"/>
      <c r="B686" s="542"/>
      <c r="C686" s="8"/>
      <c r="D686" s="8"/>
      <c r="E686" s="236"/>
      <c r="F686" s="226"/>
      <c r="G686" s="376"/>
      <c r="H686" s="226"/>
      <c r="I686" s="237"/>
      <c r="J686" s="9"/>
    </row>
    <row r="687" spans="1:10" x14ac:dyDescent="0.35">
      <c r="A687" s="189"/>
      <c r="B687" s="542"/>
      <c r="C687" s="8"/>
      <c r="D687" s="8"/>
      <c r="E687" s="236"/>
      <c r="F687" s="226"/>
      <c r="G687" s="376"/>
      <c r="H687" s="226"/>
      <c r="I687" s="237"/>
      <c r="J687" s="9"/>
    </row>
    <row r="688" spans="1:10" x14ac:dyDescent="0.35">
      <c r="A688" s="189"/>
      <c r="B688" s="542"/>
      <c r="C688" s="8"/>
      <c r="D688" s="8"/>
      <c r="E688" s="236"/>
      <c r="F688" s="226"/>
      <c r="G688" s="376"/>
      <c r="H688" s="226"/>
      <c r="I688" s="237"/>
      <c r="J688" s="9"/>
    </row>
    <row r="689" spans="1:10" x14ac:dyDescent="0.35">
      <c r="A689" s="189"/>
      <c r="B689" s="541"/>
      <c r="C689" s="8"/>
      <c r="D689" s="8"/>
      <c r="E689" s="236"/>
      <c r="F689" s="226"/>
      <c r="G689" s="376"/>
      <c r="H689" s="226"/>
      <c r="I689" s="237"/>
      <c r="J689" s="9"/>
    </row>
    <row r="690" spans="1:10" x14ac:dyDescent="0.35">
      <c r="A690" s="189"/>
      <c r="B690" s="542"/>
      <c r="C690" s="8"/>
      <c r="D690" s="8"/>
      <c r="E690" s="236"/>
      <c r="F690" s="226"/>
      <c r="G690" s="376"/>
      <c r="H690" s="226"/>
      <c r="I690" s="237"/>
      <c r="J690" s="9"/>
    </row>
    <row r="691" spans="1:10" x14ac:dyDescent="0.35">
      <c r="A691" s="189"/>
      <c r="B691" s="542"/>
      <c r="C691" s="8"/>
      <c r="D691" s="8"/>
      <c r="E691" s="236"/>
      <c r="F691" s="226"/>
      <c r="G691" s="376"/>
      <c r="H691" s="226"/>
      <c r="I691" s="237"/>
      <c r="J691" s="9"/>
    </row>
    <row r="692" spans="1:10" x14ac:dyDescent="0.35">
      <c r="A692" s="189"/>
      <c r="B692" s="542"/>
      <c r="C692" s="8"/>
      <c r="D692" s="8"/>
      <c r="E692" s="236"/>
      <c r="F692" s="226"/>
      <c r="G692" s="376"/>
      <c r="H692" s="226"/>
      <c r="I692" s="237"/>
      <c r="J692" s="9"/>
    </row>
    <row r="693" spans="1:10" x14ac:dyDescent="0.35">
      <c r="A693" s="189"/>
      <c r="B693" s="542"/>
      <c r="C693" s="8"/>
      <c r="D693" s="8"/>
      <c r="E693" s="236"/>
      <c r="F693" s="226"/>
      <c r="G693" s="376"/>
      <c r="H693" s="226"/>
      <c r="I693" s="237"/>
      <c r="J693" s="9"/>
    </row>
    <row r="694" spans="1:10" x14ac:dyDescent="0.35">
      <c r="A694" s="189"/>
      <c r="B694" s="542"/>
      <c r="C694" s="8"/>
      <c r="D694" s="8"/>
      <c r="E694" s="236"/>
      <c r="F694" s="226"/>
      <c r="G694" s="376"/>
      <c r="H694" s="226"/>
      <c r="I694" s="237"/>
      <c r="J694" s="9"/>
    </row>
    <row r="695" spans="1:10" x14ac:dyDescent="0.35">
      <c r="A695" s="189"/>
      <c r="B695" s="542"/>
      <c r="C695" s="8"/>
      <c r="D695" s="8"/>
      <c r="E695" s="236"/>
      <c r="F695" s="226"/>
      <c r="G695" s="376"/>
      <c r="H695" s="226"/>
      <c r="I695" s="237"/>
      <c r="J695" s="9"/>
    </row>
    <row r="696" spans="1:10" x14ac:dyDescent="0.35">
      <c r="A696" s="189"/>
      <c r="B696" s="542"/>
      <c r="C696" s="8"/>
      <c r="D696" s="8"/>
      <c r="E696" s="236"/>
      <c r="F696" s="226"/>
      <c r="G696" s="376"/>
      <c r="H696" s="226"/>
      <c r="I696" s="237"/>
      <c r="J696" s="9"/>
    </row>
    <row r="697" spans="1:10" x14ac:dyDescent="0.35">
      <c r="A697" s="189"/>
      <c r="B697" s="542"/>
      <c r="C697" s="8"/>
      <c r="D697" s="8"/>
      <c r="E697" s="236"/>
      <c r="F697" s="226"/>
      <c r="G697" s="376"/>
      <c r="H697" s="226"/>
      <c r="I697" s="237"/>
      <c r="J697" s="9"/>
    </row>
    <row r="698" spans="1:10" x14ac:dyDescent="0.35">
      <c r="A698" s="189"/>
      <c r="B698" s="542"/>
      <c r="C698" s="8"/>
      <c r="D698" s="8"/>
      <c r="E698" s="236"/>
      <c r="F698" s="226"/>
      <c r="G698" s="376"/>
      <c r="H698" s="226"/>
      <c r="I698" s="237"/>
      <c r="J698" s="9"/>
    </row>
    <row r="699" spans="1:10" x14ac:dyDescent="0.35">
      <c r="A699" s="189"/>
      <c r="B699" s="542"/>
      <c r="C699" s="8"/>
      <c r="D699" s="8"/>
      <c r="E699" s="236"/>
      <c r="F699" s="226"/>
      <c r="G699" s="376"/>
      <c r="H699" s="226"/>
      <c r="I699" s="237"/>
      <c r="J699" s="9"/>
    </row>
    <row r="700" spans="1:10" x14ac:dyDescent="0.35">
      <c r="A700" s="189"/>
      <c r="B700" s="542"/>
      <c r="C700" s="8"/>
      <c r="D700" s="8"/>
      <c r="E700" s="236"/>
      <c r="F700" s="226"/>
      <c r="G700" s="376"/>
      <c r="H700" s="226"/>
      <c r="I700" s="237"/>
      <c r="J700" s="9"/>
    </row>
    <row r="701" spans="1:10" x14ac:dyDescent="0.35">
      <c r="A701" s="189"/>
      <c r="B701" s="542"/>
      <c r="C701" s="8"/>
      <c r="D701" s="8"/>
      <c r="E701" s="236"/>
      <c r="F701" s="226"/>
      <c r="G701" s="376"/>
      <c r="H701" s="226"/>
      <c r="I701" s="237"/>
      <c r="J701" s="9"/>
    </row>
    <row r="702" spans="1:10" x14ac:dyDescent="0.35">
      <c r="A702" s="189"/>
      <c r="B702" s="542"/>
      <c r="C702" s="8"/>
      <c r="D702" s="8"/>
      <c r="E702" s="236"/>
      <c r="F702" s="226"/>
      <c r="G702" s="376"/>
      <c r="H702" s="226"/>
      <c r="I702" s="237"/>
      <c r="J702" s="9"/>
    </row>
    <row r="703" spans="1:10" x14ac:dyDescent="0.35">
      <c r="A703" s="189"/>
      <c r="B703" s="542"/>
      <c r="C703" s="8"/>
      <c r="D703" s="8"/>
      <c r="E703" s="236"/>
      <c r="F703" s="226"/>
      <c r="G703" s="376"/>
      <c r="H703" s="226"/>
      <c r="I703" s="237"/>
      <c r="J703" s="9"/>
    </row>
    <row r="704" spans="1:10" x14ac:dyDescent="0.35">
      <c r="A704" s="189"/>
      <c r="B704" s="542"/>
      <c r="C704" s="8"/>
      <c r="D704" s="8"/>
      <c r="E704" s="236"/>
      <c r="F704" s="226"/>
      <c r="G704" s="376"/>
      <c r="H704" s="226"/>
      <c r="I704" s="237"/>
      <c r="J704" s="9"/>
    </row>
    <row r="705" spans="1:10" x14ac:dyDescent="0.35">
      <c r="A705" s="189"/>
      <c r="B705" s="542"/>
      <c r="C705" s="8"/>
      <c r="D705" s="8"/>
      <c r="E705" s="236"/>
      <c r="F705" s="226"/>
      <c r="G705" s="376"/>
      <c r="H705" s="226"/>
      <c r="I705" s="237"/>
      <c r="J705" s="9"/>
    </row>
    <row r="706" spans="1:10" x14ac:dyDescent="0.35">
      <c r="A706" s="189"/>
      <c r="B706" s="541"/>
      <c r="C706" s="8"/>
      <c r="D706" s="8"/>
      <c r="E706" s="236"/>
      <c r="F706" s="226"/>
      <c r="G706" s="376"/>
      <c r="H706" s="226"/>
      <c r="I706" s="237"/>
      <c r="J706" s="9"/>
    </row>
    <row r="707" spans="1:10" x14ac:dyDescent="0.35">
      <c r="A707" s="189"/>
      <c r="B707" s="542"/>
      <c r="C707" s="8"/>
      <c r="D707" s="8"/>
      <c r="E707" s="236"/>
      <c r="F707" s="226"/>
      <c r="G707" s="376"/>
      <c r="H707" s="226"/>
      <c r="I707" s="237"/>
      <c r="J707" s="9"/>
    </row>
    <row r="708" spans="1:10" x14ac:dyDescent="0.35">
      <c r="A708" s="189"/>
      <c r="B708" s="542"/>
      <c r="C708" s="8"/>
      <c r="D708" s="8"/>
      <c r="E708" s="236"/>
      <c r="F708" s="226"/>
      <c r="G708" s="376"/>
      <c r="H708" s="226"/>
      <c r="I708" s="237"/>
      <c r="J708" s="9"/>
    </row>
    <row r="709" spans="1:10" x14ac:dyDescent="0.35">
      <c r="A709" s="189"/>
      <c r="B709" s="542"/>
      <c r="C709" s="8"/>
      <c r="D709" s="8"/>
      <c r="E709" s="236"/>
      <c r="F709" s="226"/>
      <c r="G709" s="376"/>
      <c r="H709" s="226"/>
      <c r="I709" s="237"/>
      <c r="J709" s="9"/>
    </row>
    <row r="710" spans="1:10" x14ac:dyDescent="0.35">
      <c r="A710" s="189"/>
      <c r="B710" s="542"/>
      <c r="C710" s="8"/>
      <c r="D710" s="8"/>
      <c r="E710" s="236"/>
      <c r="F710" s="226"/>
      <c r="G710" s="376"/>
      <c r="H710" s="226"/>
      <c r="I710" s="237"/>
      <c r="J710" s="9"/>
    </row>
    <row r="711" spans="1:10" x14ac:dyDescent="0.35">
      <c r="A711" s="189"/>
      <c r="B711" s="542"/>
      <c r="C711" s="8"/>
      <c r="D711" s="8"/>
      <c r="E711" s="236"/>
      <c r="F711" s="226"/>
      <c r="G711" s="376"/>
      <c r="H711" s="226"/>
      <c r="I711" s="237"/>
      <c r="J711" s="9"/>
    </row>
    <row r="712" spans="1:10" x14ac:dyDescent="0.35">
      <c r="A712" s="189"/>
      <c r="B712" s="542"/>
      <c r="C712" s="8"/>
      <c r="D712" s="8"/>
      <c r="E712" s="236"/>
      <c r="F712" s="226"/>
      <c r="G712" s="376"/>
      <c r="H712" s="226"/>
      <c r="I712" s="237"/>
      <c r="J712" s="9"/>
    </row>
    <row r="713" spans="1:10" x14ac:dyDescent="0.35">
      <c r="A713" s="189"/>
      <c r="B713" s="542"/>
      <c r="C713" s="8"/>
      <c r="D713" s="8"/>
      <c r="E713" s="236"/>
      <c r="F713" s="226"/>
      <c r="G713" s="376"/>
      <c r="H713" s="226"/>
      <c r="I713" s="237"/>
      <c r="J713" s="9"/>
    </row>
    <row r="714" spans="1:10" x14ac:dyDescent="0.35">
      <c r="A714" s="189"/>
      <c r="B714" s="542"/>
      <c r="C714" s="8"/>
      <c r="D714" s="8"/>
      <c r="E714" s="236"/>
      <c r="F714" s="226"/>
      <c r="G714" s="376"/>
      <c r="H714" s="226"/>
      <c r="I714" s="237"/>
      <c r="J714" s="9"/>
    </row>
    <row r="715" spans="1:10" x14ac:dyDescent="0.35">
      <c r="A715" s="189"/>
      <c r="B715" s="542"/>
      <c r="C715" s="8"/>
      <c r="D715" s="8"/>
      <c r="E715" s="236"/>
      <c r="F715" s="226"/>
      <c r="G715" s="376"/>
      <c r="H715" s="226"/>
      <c r="I715" s="237"/>
      <c r="J715" s="9"/>
    </row>
    <row r="716" spans="1:10" x14ac:dyDescent="0.35">
      <c r="A716" s="189"/>
      <c r="B716" s="542"/>
      <c r="C716" s="8"/>
      <c r="D716" s="8"/>
      <c r="E716" s="236"/>
      <c r="F716" s="226"/>
      <c r="G716" s="376"/>
      <c r="H716" s="226"/>
      <c r="I716" s="237"/>
      <c r="J716" s="9"/>
    </row>
    <row r="717" spans="1:10" x14ac:dyDescent="0.35">
      <c r="A717" s="189"/>
      <c r="B717" s="542"/>
      <c r="C717" s="8"/>
      <c r="D717" s="8"/>
      <c r="E717" s="236"/>
      <c r="F717" s="226"/>
      <c r="G717" s="376"/>
      <c r="H717" s="226"/>
      <c r="I717" s="237"/>
      <c r="J717" s="9"/>
    </row>
    <row r="718" spans="1:10" x14ac:dyDescent="0.35">
      <c r="A718" s="189"/>
      <c r="B718" s="542"/>
      <c r="C718" s="8"/>
      <c r="D718" s="8"/>
      <c r="E718" s="236"/>
      <c r="F718" s="226"/>
      <c r="G718" s="376"/>
      <c r="H718" s="226"/>
      <c r="I718" s="237"/>
      <c r="J718" s="9"/>
    </row>
    <row r="719" spans="1:10" x14ac:dyDescent="0.35">
      <c r="A719" s="189"/>
      <c r="B719" s="542"/>
      <c r="C719" s="8"/>
      <c r="D719" s="8"/>
      <c r="E719" s="236"/>
      <c r="F719" s="226"/>
      <c r="G719" s="376"/>
      <c r="H719" s="226"/>
      <c r="I719" s="237"/>
      <c r="J719" s="9"/>
    </row>
    <row r="720" spans="1:10" x14ac:dyDescent="0.35">
      <c r="A720" s="189"/>
      <c r="B720" s="542"/>
      <c r="C720" s="8"/>
      <c r="D720" s="8"/>
      <c r="E720" s="236"/>
      <c r="F720" s="226"/>
      <c r="G720" s="376"/>
      <c r="H720" s="226"/>
      <c r="I720" s="237"/>
      <c r="J720" s="9"/>
    </row>
    <row r="721" spans="1:10" x14ac:dyDescent="0.35">
      <c r="A721" s="189"/>
      <c r="B721" s="542"/>
      <c r="C721" s="8"/>
      <c r="D721" s="8"/>
      <c r="E721" s="236"/>
      <c r="F721" s="226"/>
      <c r="G721" s="376"/>
      <c r="H721" s="226"/>
      <c r="I721" s="237"/>
      <c r="J721" s="9"/>
    </row>
    <row r="722" spans="1:10" x14ac:dyDescent="0.35">
      <c r="A722" s="189"/>
      <c r="B722" s="542"/>
      <c r="C722" s="8"/>
      <c r="D722" s="8"/>
      <c r="E722" s="236"/>
      <c r="F722" s="226"/>
      <c r="G722" s="376"/>
      <c r="H722" s="226"/>
      <c r="I722" s="237"/>
      <c r="J722" s="9"/>
    </row>
    <row r="723" spans="1:10" x14ac:dyDescent="0.35">
      <c r="A723" s="189"/>
      <c r="B723" s="541"/>
      <c r="C723" s="8"/>
      <c r="D723" s="8"/>
      <c r="E723" s="236"/>
      <c r="F723" s="226"/>
      <c r="G723" s="376"/>
      <c r="H723" s="226"/>
      <c r="I723" s="237"/>
      <c r="J723" s="9"/>
    </row>
    <row r="724" spans="1:10" x14ac:dyDescent="0.35">
      <c r="A724" s="189"/>
      <c r="B724" s="542"/>
      <c r="C724" s="8"/>
      <c r="D724" s="8"/>
      <c r="E724" s="236"/>
      <c r="F724" s="226"/>
      <c r="G724" s="376"/>
      <c r="H724" s="226"/>
      <c r="I724" s="237"/>
      <c r="J724" s="9"/>
    </row>
    <row r="725" spans="1:10" x14ac:dyDescent="0.35">
      <c r="A725" s="189"/>
      <c r="B725" s="542"/>
      <c r="C725" s="8"/>
      <c r="D725" s="8"/>
      <c r="E725" s="236"/>
      <c r="F725" s="226"/>
      <c r="G725" s="376"/>
      <c r="H725" s="226"/>
      <c r="I725" s="237"/>
      <c r="J725" s="9"/>
    </row>
    <row r="726" spans="1:10" x14ac:dyDescent="0.35">
      <c r="A726" s="189"/>
      <c r="B726" s="542"/>
      <c r="C726" s="8"/>
      <c r="D726" s="8"/>
      <c r="E726" s="236"/>
      <c r="F726" s="226"/>
      <c r="G726" s="376"/>
      <c r="H726" s="226"/>
      <c r="I726" s="237"/>
      <c r="J726" s="9"/>
    </row>
    <row r="727" spans="1:10" x14ac:dyDescent="0.35">
      <c r="A727" s="189"/>
      <c r="B727" s="542"/>
      <c r="C727" s="8"/>
      <c r="D727" s="8"/>
      <c r="E727" s="236"/>
      <c r="F727" s="226"/>
      <c r="G727" s="376"/>
      <c r="H727" s="226"/>
      <c r="I727" s="237"/>
      <c r="J727" s="9"/>
    </row>
    <row r="728" spans="1:10" x14ac:dyDescent="0.35">
      <c r="A728" s="189"/>
      <c r="B728" s="542"/>
      <c r="C728" s="8"/>
      <c r="D728" s="8"/>
      <c r="E728" s="236"/>
      <c r="F728" s="226"/>
      <c r="G728" s="376"/>
      <c r="H728" s="226"/>
      <c r="I728" s="237"/>
      <c r="J728" s="9"/>
    </row>
    <row r="729" spans="1:10" x14ac:dyDescent="0.35">
      <c r="A729" s="189"/>
      <c r="B729" s="542"/>
      <c r="C729" s="8"/>
      <c r="D729" s="8"/>
      <c r="E729" s="236"/>
      <c r="F729" s="226"/>
      <c r="G729" s="376"/>
      <c r="H729" s="226"/>
      <c r="I729" s="237"/>
      <c r="J729" s="9"/>
    </row>
    <row r="730" spans="1:10" x14ac:dyDescent="0.35">
      <c r="A730" s="189"/>
      <c r="B730" s="542"/>
      <c r="C730" s="8"/>
      <c r="D730" s="8"/>
      <c r="E730" s="236"/>
      <c r="F730" s="226"/>
      <c r="G730" s="376"/>
      <c r="H730" s="226"/>
      <c r="I730" s="237"/>
      <c r="J730" s="9"/>
    </row>
    <row r="731" spans="1:10" x14ac:dyDescent="0.35">
      <c r="A731" s="189"/>
      <c r="B731" s="542"/>
      <c r="C731" s="8"/>
      <c r="D731" s="8"/>
      <c r="E731" s="236"/>
      <c r="F731" s="226"/>
      <c r="G731" s="376"/>
      <c r="H731" s="226"/>
      <c r="I731" s="237"/>
      <c r="J731" s="9"/>
    </row>
    <row r="732" spans="1:10" x14ac:dyDescent="0.35">
      <c r="A732" s="189"/>
      <c r="B732" s="542"/>
      <c r="C732" s="8"/>
      <c r="D732" s="8"/>
      <c r="E732" s="236"/>
      <c r="F732" s="226"/>
      <c r="G732" s="376"/>
      <c r="H732" s="226"/>
      <c r="I732" s="237"/>
      <c r="J732" s="9"/>
    </row>
    <row r="733" spans="1:10" x14ac:dyDescent="0.35">
      <c r="A733" s="189"/>
      <c r="B733" s="542"/>
      <c r="C733" s="8"/>
      <c r="D733" s="8"/>
      <c r="E733" s="236"/>
      <c r="F733" s="226"/>
      <c r="G733" s="376"/>
      <c r="H733" s="226"/>
      <c r="I733" s="237"/>
      <c r="J733" s="9"/>
    </row>
    <row r="734" spans="1:10" x14ac:dyDescent="0.35">
      <c r="A734" s="189"/>
      <c r="B734" s="542"/>
      <c r="C734" s="8"/>
      <c r="D734" s="8"/>
      <c r="E734" s="236"/>
      <c r="F734" s="226"/>
      <c r="G734" s="376"/>
      <c r="H734" s="226"/>
      <c r="I734" s="237"/>
      <c r="J734" s="9"/>
    </row>
    <row r="735" spans="1:10" x14ac:dyDescent="0.35">
      <c r="A735" s="189"/>
      <c r="B735" s="542"/>
      <c r="C735" s="8"/>
      <c r="D735" s="8"/>
      <c r="E735" s="236"/>
      <c r="F735" s="226"/>
      <c r="G735" s="376"/>
      <c r="H735" s="226"/>
      <c r="I735" s="237"/>
      <c r="J735" s="9"/>
    </row>
    <row r="736" spans="1:10" x14ac:dyDescent="0.35">
      <c r="A736" s="189"/>
      <c r="B736" s="542"/>
      <c r="C736" s="8"/>
      <c r="D736" s="8"/>
      <c r="E736" s="236"/>
      <c r="F736" s="226"/>
      <c r="G736" s="376"/>
      <c r="H736" s="226"/>
      <c r="I736" s="237"/>
      <c r="J736" s="9"/>
    </row>
    <row r="737" spans="1:10" x14ac:dyDescent="0.35">
      <c r="A737" s="189"/>
      <c r="B737" s="542"/>
      <c r="C737" s="8"/>
      <c r="D737" s="8"/>
      <c r="E737" s="236"/>
      <c r="F737" s="226"/>
      <c r="G737" s="376"/>
      <c r="H737" s="226"/>
      <c r="I737" s="237"/>
      <c r="J737" s="9"/>
    </row>
    <row r="738" spans="1:10" x14ac:dyDescent="0.35">
      <c r="A738" s="189"/>
      <c r="B738" s="542"/>
      <c r="C738" s="8"/>
      <c r="D738" s="8"/>
      <c r="E738" s="236"/>
      <c r="F738" s="226"/>
      <c r="G738" s="376"/>
      <c r="H738" s="226"/>
      <c r="I738" s="237"/>
      <c r="J738" s="9"/>
    </row>
    <row r="739" spans="1:10" x14ac:dyDescent="0.35">
      <c r="A739" s="189"/>
      <c r="B739" s="542"/>
      <c r="C739" s="8"/>
      <c r="D739" s="8"/>
      <c r="E739" s="236"/>
      <c r="F739" s="226"/>
      <c r="G739" s="376"/>
      <c r="H739" s="226"/>
      <c r="I739" s="237"/>
      <c r="J739" s="9"/>
    </row>
    <row r="740" spans="1:10" x14ac:dyDescent="0.35">
      <c r="A740" s="189"/>
      <c r="B740" s="541"/>
      <c r="C740" s="8"/>
      <c r="D740" s="8"/>
      <c r="E740" s="236"/>
      <c r="F740" s="226"/>
      <c r="G740" s="376"/>
      <c r="H740" s="226"/>
      <c r="I740" s="237"/>
      <c r="J740" s="9"/>
    </row>
    <row r="741" spans="1:10" x14ac:dyDescent="0.35">
      <c r="A741" s="189"/>
      <c r="B741" s="542"/>
      <c r="C741" s="8"/>
      <c r="D741" s="8"/>
      <c r="E741" s="236"/>
      <c r="F741" s="226"/>
      <c r="G741" s="376"/>
      <c r="H741" s="226"/>
      <c r="I741" s="237"/>
      <c r="J741" s="9"/>
    </row>
    <row r="742" spans="1:10" x14ac:dyDescent="0.35">
      <c r="A742" s="189"/>
      <c r="B742" s="542"/>
      <c r="C742" s="8"/>
      <c r="D742" s="8"/>
      <c r="E742" s="236"/>
      <c r="F742" s="226"/>
      <c r="G742" s="376"/>
      <c r="H742" s="226"/>
      <c r="I742" s="237"/>
      <c r="J742" s="9"/>
    </row>
    <row r="743" spans="1:10" x14ac:dyDescent="0.35">
      <c r="A743" s="189"/>
      <c r="B743" s="542"/>
      <c r="C743" s="8"/>
      <c r="D743" s="8"/>
      <c r="E743" s="236"/>
      <c r="F743" s="226"/>
      <c r="G743" s="376"/>
      <c r="H743" s="226"/>
      <c r="I743" s="237"/>
      <c r="J743" s="9"/>
    </row>
    <row r="744" spans="1:10" x14ac:dyDescent="0.35">
      <c r="A744" s="189"/>
      <c r="B744" s="542"/>
      <c r="C744" s="8"/>
      <c r="D744" s="8"/>
      <c r="E744" s="236"/>
      <c r="F744" s="226"/>
      <c r="G744" s="376"/>
      <c r="H744" s="226"/>
      <c r="I744" s="237"/>
      <c r="J744" s="9"/>
    </row>
    <row r="745" spans="1:10" x14ac:dyDescent="0.35">
      <c r="A745" s="189"/>
      <c r="B745" s="542"/>
      <c r="C745" s="8"/>
      <c r="D745" s="8"/>
      <c r="E745" s="236"/>
      <c r="F745" s="226"/>
      <c r="G745" s="376"/>
      <c r="H745" s="226"/>
      <c r="I745" s="237"/>
      <c r="J745" s="9"/>
    </row>
    <row r="746" spans="1:10" x14ac:dyDescent="0.35">
      <c r="A746" s="189"/>
      <c r="B746" s="542"/>
      <c r="C746" s="8"/>
      <c r="D746" s="8"/>
      <c r="E746" s="236"/>
      <c r="F746" s="226"/>
      <c r="G746" s="376"/>
      <c r="H746" s="226"/>
      <c r="I746" s="237"/>
      <c r="J746" s="9"/>
    </row>
    <row r="747" spans="1:10" x14ac:dyDescent="0.35">
      <c r="A747" s="189"/>
      <c r="B747" s="542"/>
      <c r="C747" s="8"/>
      <c r="D747" s="8"/>
      <c r="E747" s="236"/>
      <c r="F747" s="226"/>
      <c r="G747" s="376"/>
      <c r="H747" s="226"/>
      <c r="I747" s="237"/>
      <c r="J747" s="9"/>
    </row>
    <row r="748" spans="1:10" x14ac:dyDescent="0.35">
      <c r="A748" s="189"/>
      <c r="B748" s="542"/>
      <c r="C748" s="8"/>
      <c r="D748" s="8"/>
      <c r="E748" s="236"/>
      <c r="F748" s="226"/>
      <c r="G748" s="376"/>
      <c r="H748" s="226"/>
      <c r="I748" s="237"/>
      <c r="J748" s="9"/>
    </row>
    <row r="749" spans="1:10" x14ac:dyDescent="0.35">
      <c r="A749" s="189"/>
      <c r="B749" s="542"/>
      <c r="C749" s="8"/>
      <c r="D749" s="8"/>
      <c r="E749" s="236"/>
      <c r="F749" s="226"/>
      <c r="G749" s="376"/>
      <c r="H749" s="226"/>
      <c r="I749" s="237"/>
      <c r="J749" s="9"/>
    </row>
    <row r="750" spans="1:10" x14ac:dyDescent="0.35">
      <c r="A750" s="189"/>
      <c r="B750" s="542"/>
      <c r="C750" s="8"/>
      <c r="D750" s="8"/>
      <c r="E750" s="236"/>
      <c r="F750" s="226"/>
      <c r="G750" s="376"/>
      <c r="H750" s="226"/>
      <c r="I750" s="237"/>
      <c r="J750" s="9"/>
    </row>
    <row r="751" spans="1:10" x14ac:dyDescent="0.35">
      <c r="A751" s="189"/>
      <c r="B751" s="542"/>
      <c r="C751" s="8"/>
      <c r="D751" s="8"/>
      <c r="E751" s="236"/>
      <c r="F751" s="226"/>
      <c r="G751" s="376"/>
      <c r="H751" s="226"/>
      <c r="I751" s="237"/>
      <c r="J751" s="9"/>
    </row>
    <row r="752" spans="1:10" x14ac:dyDescent="0.35">
      <c r="A752" s="189"/>
      <c r="B752" s="542"/>
      <c r="C752" s="8"/>
      <c r="D752" s="8"/>
      <c r="E752" s="236"/>
      <c r="F752" s="226"/>
      <c r="G752" s="376"/>
      <c r="H752" s="226"/>
      <c r="I752" s="237"/>
      <c r="J752" s="9"/>
    </row>
    <row r="753" spans="1:10" x14ac:dyDescent="0.35">
      <c r="A753" s="189"/>
      <c r="B753" s="542"/>
      <c r="C753" s="8"/>
      <c r="D753" s="8"/>
      <c r="E753" s="236"/>
      <c r="F753" s="226"/>
      <c r="G753" s="376"/>
      <c r="H753" s="226"/>
      <c r="I753" s="237"/>
      <c r="J753" s="9"/>
    </row>
    <row r="754" spans="1:10" x14ac:dyDescent="0.35">
      <c r="A754" s="189"/>
      <c r="B754" s="542"/>
      <c r="C754" s="8"/>
      <c r="D754" s="8"/>
      <c r="E754" s="236"/>
      <c r="F754" s="226"/>
      <c r="G754" s="376"/>
      <c r="H754" s="226"/>
      <c r="I754" s="237"/>
      <c r="J754" s="9"/>
    </row>
    <row r="755" spans="1:10" x14ac:dyDescent="0.35">
      <c r="A755" s="189"/>
      <c r="B755" s="542"/>
      <c r="C755" s="8"/>
      <c r="D755" s="8"/>
      <c r="E755" s="236"/>
      <c r="F755" s="226"/>
      <c r="G755" s="376"/>
      <c r="H755" s="226"/>
      <c r="I755" s="237"/>
      <c r="J755" s="9"/>
    </row>
    <row r="756" spans="1:10" x14ac:dyDescent="0.35">
      <c r="A756" s="189"/>
      <c r="B756" s="542"/>
      <c r="C756" s="8"/>
      <c r="D756" s="8"/>
      <c r="E756" s="236"/>
      <c r="F756" s="226"/>
      <c r="G756" s="376"/>
      <c r="H756" s="226"/>
      <c r="I756" s="237"/>
      <c r="J756" s="9"/>
    </row>
    <row r="757" spans="1:10" x14ac:dyDescent="0.35">
      <c r="A757" s="189"/>
      <c r="B757" s="541"/>
      <c r="C757" s="8"/>
      <c r="D757" s="8"/>
      <c r="E757" s="236"/>
      <c r="F757" s="226"/>
      <c r="G757" s="376"/>
      <c r="H757" s="226"/>
      <c r="I757" s="237"/>
      <c r="J757" s="9"/>
    </row>
    <row r="758" spans="1:10" x14ac:dyDescent="0.35">
      <c r="A758" s="189"/>
      <c r="B758" s="542"/>
      <c r="C758" s="8"/>
      <c r="D758" s="8"/>
      <c r="E758" s="236"/>
      <c r="F758" s="226"/>
      <c r="G758" s="376"/>
      <c r="H758" s="226"/>
      <c r="I758" s="237"/>
      <c r="J758" s="9"/>
    </row>
    <row r="759" spans="1:10" x14ac:dyDescent="0.35">
      <c r="A759" s="189"/>
      <c r="B759" s="542"/>
      <c r="C759" s="8"/>
      <c r="D759" s="8"/>
      <c r="E759" s="236"/>
      <c r="F759" s="226"/>
      <c r="G759" s="376"/>
      <c r="H759" s="226"/>
      <c r="I759" s="237"/>
      <c r="J759" s="9"/>
    </row>
    <row r="760" spans="1:10" x14ac:dyDescent="0.35">
      <c r="A760" s="189"/>
      <c r="B760" s="542"/>
      <c r="C760" s="8"/>
      <c r="D760" s="8"/>
      <c r="E760" s="236"/>
      <c r="F760" s="226"/>
      <c r="G760" s="376"/>
      <c r="H760" s="226"/>
      <c r="I760" s="237"/>
      <c r="J760" s="9"/>
    </row>
    <row r="761" spans="1:10" x14ac:dyDescent="0.35">
      <c r="A761" s="189"/>
      <c r="B761" s="542"/>
      <c r="C761" s="8"/>
      <c r="D761" s="8"/>
      <c r="E761" s="236"/>
      <c r="F761" s="226"/>
      <c r="G761" s="376"/>
      <c r="H761" s="226"/>
      <c r="I761" s="237"/>
      <c r="J761" s="9"/>
    </row>
    <row r="762" spans="1:10" x14ac:dyDescent="0.35">
      <c r="A762" s="189"/>
      <c r="B762" s="542"/>
      <c r="C762" s="8"/>
      <c r="D762" s="8"/>
      <c r="E762" s="236"/>
      <c r="F762" s="226"/>
      <c r="G762" s="376"/>
      <c r="H762" s="226"/>
      <c r="I762" s="237"/>
      <c r="J762" s="9"/>
    </row>
    <row r="763" spans="1:10" x14ac:dyDescent="0.35">
      <c r="A763" s="189"/>
      <c r="B763" s="542"/>
      <c r="C763" s="8"/>
      <c r="D763" s="8"/>
      <c r="E763" s="236"/>
      <c r="F763" s="226"/>
      <c r="G763" s="376"/>
      <c r="H763" s="226"/>
      <c r="I763" s="237"/>
      <c r="J763" s="9"/>
    </row>
    <row r="764" spans="1:10" x14ac:dyDescent="0.35">
      <c r="A764" s="189"/>
      <c r="B764" s="542"/>
      <c r="C764" s="8"/>
      <c r="D764" s="8"/>
      <c r="E764" s="236"/>
      <c r="F764" s="226"/>
      <c r="G764" s="376"/>
      <c r="H764" s="226"/>
      <c r="I764" s="237"/>
      <c r="J764" s="9"/>
    </row>
    <row r="765" spans="1:10" x14ac:dyDescent="0.35">
      <c r="A765" s="189"/>
      <c r="B765" s="542"/>
      <c r="C765" s="8"/>
      <c r="D765" s="8"/>
      <c r="E765" s="236"/>
      <c r="F765" s="226"/>
      <c r="G765" s="376"/>
      <c r="H765" s="226"/>
      <c r="I765" s="237"/>
      <c r="J765" s="9"/>
    </row>
    <row r="766" spans="1:10" x14ac:dyDescent="0.35">
      <c r="A766" s="189"/>
      <c r="B766" s="542"/>
      <c r="C766" s="8"/>
      <c r="D766" s="8"/>
      <c r="E766" s="236"/>
      <c r="F766" s="226"/>
      <c r="G766" s="376"/>
      <c r="H766" s="226"/>
      <c r="I766" s="237"/>
      <c r="J766" s="9"/>
    </row>
    <row r="767" spans="1:10" x14ac:dyDescent="0.35">
      <c r="A767" s="189"/>
      <c r="B767" s="542"/>
      <c r="C767" s="8"/>
      <c r="D767" s="8"/>
      <c r="E767" s="236"/>
      <c r="F767" s="226"/>
      <c r="G767" s="376"/>
      <c r="H767" s="226"/>
      <c r="I767" s="237"/>
      <c r="J767" s="9"/>
    </row>
    <row r="768" spans="1:10" x14ac:dyDescent="0.35">
      <c r="A768" s="189"/>
      <c r="B768" s="542"/>
      <c r="C768" s="8"/>
      <c r="D768" s="8"/>
      <c r="E768" s="236"/>
      <c r="F768" s="226"/>
      <c r="G768" s="376"/>
      <c r="H768" s="226"/>
      <c r="I768" s="237"/>
      <c r="J768" s="9"/>
    </row>
    <row r="769" spans="1:10" x14ac:dyDescent="0.35">
      <c r="A769" s="189"/>
      <c r="B769" s="542"/>
      <c r="C769" s="8"/>
      <c r="D769" s="8"/>
      <c r="E769" s="236"/>
      <c r="F769" s="226"/>
      <c r="G769" s="376"/>
      <c r="H769" s="226"/>
      <c r="I769" s="237"/>
      <c r="J769" s="9"/>
    </row>
    <row r="770" spans="1:10" x14ac:dyDescent="0.35">
      <c r="A770" s="189"/>
      <c r="B770" s="542"/>
      <c r="C770" s="8"/>
      <c r="D770" s="8"/>
      <c r="E770" s="236"/>
      <c r="F770" s="226"/>
      <c r="G770" s="376"/>
      <c r="H770" s="226"/>
      <c r="I770" s="237"/>
      <c r="J770" s="9"/>
    </row>
    <row r="771" spans="1:10" x14ac:dyDescent="0.35">
      <c r="A771" s="189"/>
      <c r="B771" s="542"/>
      <c r="C771" s="8"/>
      <c r="D771" s="8"/>
      <c r="E771" s="236"/>
      <c r="F771" s="226"/>
      <c r="G771" s="376"/>
      <c r="H771" s="226"/>
      <c r="I771" s="237"/>
      <c r="J771" s="9"/>
    </row>
    <row r="772" spans="1:10" x14ac:dyDescent="0.35">
      <c r="A772" s="189"/>
      <c r="B772" s="542"/>
      <c r="C772" s="8"/>
      <c r="D772" s="8"/>
      <c r="E772" s="236"/>
      <c r="F772" s="226"/>
      <c r="G772" s="376"/>
      <c r="H772" s="226"/>
      <c r="I772" s="237"/>
      <c r="J772" s="9"/>
    </row>
    <row r="773" spans="1:10" x14ac:dyDescent="0.35">
      <c r="A773" s="189"/>
      <c r="B773" s="542"/>
      <c r="C773" s="8"/>
      <c r="D773" s="8"/>
      <c r="E773" s="236"/>
      <c r="F773" s="226"/>
      <c r="G773" s="376"/>
      <c r="H773" s="226"/>
      <c r="I773" s="237"/>
      <c r="J773" s="9"/>
    </row>
    <row r="774" spans="1:10" x14ac:dyDescent="0.35">
      <c r="A774" s="189"/>
      <c r="B774" s="541"/>
      <c r="C774" s="8"/>
      <c r="D774" s="8"/>
      <c r="E774" s="236"/>
      <c r="F774" s="226"/>
      <c r="G774" s="376"/>
      <c r="H774" s="226"/>
      <c r="I774" s="237"/>
      <c r="J774" s="9"/>
    </row>
    <row r="775" spans="1:10" x14ac:dyDescent="0.35">
      <c r="A775" s="189"/>
      <c r="B775" s="542"/>
      <c r="C775" s="8"/>
      <c r="D775" s="8"/>
      <c r="E775" s="236"/>
      <c r="F775" s="226"/>
      <c r="G775" s="376"/>
      <c r="H775" s="226"/>
      <c r="I775" s="237"/>
      <c r="J775" s="9"/>
    </row>
    <row r="776" spans="1:10" x14ac:dyDescent="0.35">
      <c r="A776" s="189"/>
      <c r="B776" s="542"/>
      <c r="C776" s="8"/>
      <c r="D776" s="8"/>
      <c r="E776" s="236"/>
      <c r="F776" s="226"/>
      <c r="G776" s="376"/>
      <c r="H776" s="226"/>
      <c r="I776" s="237"/>
      <c r="J776" s="9"/>
    </row>
    <row r="777" spans="1:10" x14ac:dyDescent="0.35">
      <c r="A777" s="189"/>
      <c r="B777" s="542"/>
      <c r="C777" s="8"/>
      <c r="D777" s="8"/>
      <c r="E777" s="236"/>
      <c r="F777" s="226"/>
      <c r="G777" s="376"/>
      <c r="H777" s="226"/>
      <c r="I777" s="237"/>
      <c r="J777" s="9"/>
    </row>
    <row r="778" spans="1:10" x14ac:dyDescent="0.35">
      <c r="A778" s="189"/>
      <c r="B778" s="542"/>
      <c r="C778" s="8"/>
      <c r="D778" s="8"/>
      <c r="E778" s="236"/>
      <c r="F778" s="226"/>
      <c r="G778" s="376"/>
      <c r="H778" s="226"/>
      <c r="I778" s="237"/>
      <c r="J778" s="9"/>
    </row>
    <row r="779" spans="1:10" x14ac:dyDescent="0.35">
      <c r="A779" s="189"/>
      <c r="B779" s="542"/>
      <c r="C779" s="8"/>
      <c r="D779" s="8"/>
      <c r="E779" s="236"/>
      <c r="F779" s="226"/>
      <c r="G779" s="376"/>
      <c r="H779" s="226"/>
      <c r="I779" s="237"/>
      <c r="J779" s="9"/>
    </row>
    <row r="780" spans="1:10" x14ac:dyDescent="0.35">
      <c r="A780" s="189"/>
      <c r="B780" s="542"/>
      <c r="C780" s="8"/>
      <c r="D780" s="8"/>
      <c r="E780" s="236"/>
      <c r="F780" s="226"/>
      <c r="G780" s="376"/>
      <c r="H780" s="226"/>
      <c r="I780" s="237"/>
      <c r="J780" s="9"/>
    </row>
    <row r="781" spans="1:10" x14ac:dyDescent="0.35">
      <c r="A781" s="189"/>
      <c r="B781" s="542"/>
      <c r="C781" s="8"/>
      <c r="D781" s="8"/>
      <c r="E781" s="236"/>
      <c r="F781" s="226"/>
      <c r="G781" s="376"/>
      <c r="H781" s="226"/>
      <c r="I781" s="237"/>
      <c r="J781" s="9"/>
    </row>
    <row r="782" spans="1:10" x14ac:dyDescent="0.35">
      <c r="A782" s="189"/>
      <c r="B782" s="542"/>
      <c r="C782" s="8"/>
      <c r="D782" s="8"/>
      <c r="E782" s="236"/>
      <c r="F782" s="226"/>
      <c r="G782" s="376"/>
      <c r="H782" s="226"/>
      <c r="I782" s="237"/>
      <c r="J782" s="9"/>
    </row>
    <row r="783" spans="1:10" x14ac:dyDescent="0.35">
      <c r="A783" s="189"/>
      <c r="B783" s="542"/>
      <c r="C783" s="8"/>
      <c r="D783" s="8"/>
      <c r="E783" s="236"/>
      <c r="F783" s="226"/>
      <c r="G783" s="376"/>
      <c r="H783" s="226"/>
      <c r="I783" s="237"/>
      <c r="J783" s="9"/>
    </row>
    <row r="784" spans="1:10" x14ac:dyDescent="0.35">
      <c r="A784" s="189"/>
      <c r="B784" s="542"/>
      <c r="C784" s="8"/>
      <c r="D784" s="8"/>
      <c r="E784" s="236"/>
      <c r="F784" s="226"/>
      <c r="G784" s="376"/>
      <c r="H784" s="226"/>
      <c r="I784" s="237"/>
      <c r="J784" s="9"/>
    </row>
    <row r="785" spans="1:10" x14ac:dyDescent="0.35">
      <c r="A785" s="189"/>
      <c r="B785" s="542"/>
      <c r="C785" s="8"/>
      <c r="D785" s="8"/>
      <c r="E785" s="236"/>
      <c r="F785" s="226"/>
      <c r="G785" s="376"/>
      <c r="H785" s="226"/>
      <c r="I785" s="237"/>
      <c r="J785" s="9"/>
    </row>
    <row r="786" spans="1:10" x14ac:dyDescent="0.35">
      <c r="A786" s="189"/>
      <c r="B786" s="542"/>
      <c r="C786" s="8"/>
      <c r="D786" s="8"/>
      <c r="E786" s="236"/>
      <c r="F786" s="226"/>
      <c r="G786" s="376"/>
      <c r="H786" s="226"/>
      <c r="I786" s="237"/>
      <c r="J786" s="9"/>
    </row>
    <row r="787" spans="1:10" x14ac:dyDescent="0.35">
      <c r="A787" s="189"/>
      <c r="B787" s="542"/>
      <c r="C787" s="8"/>
      <c r="D787" s="8"/>
      <c r="E787" s="236"/>
      <c r="F787" s="226"/>
      <c r="G787" s="376"/>
      <c r="H787" s="226"/>
      <c r="I787" s="237"/>
      <c r="J787" s="9"/>
    </row>
    <row r="788" spans="1:10" x14ac:dyDescent="0.35">
      <c r="A788" s="189"/>
      <c r="B788" s="542"/>
      <c r="C788" s="8"/>
      <c r="D788" s="8"/>
      <c r="E788" s="236"/>
      <c r="F788" s="226"/>
      <c r="G788" s="376"/>
      <c r="H788" s="226"/>
      <c r="I788" s="237"/>
      <c r="J788" s="9"/>
    </row>
    <row r="789" spans="1:10" x14ac:dyDescent="0.35">
      <c r="A789" s="189"/>
      <c r="B789" s="542"/>
      <c r="C789" s="8"/>
      <c r="D789" s="8"/>
      <c r="E789" s="236"/>
      <c r="F789" s="226"/>
      <c r="G789" s="376"/>
      <c r="H789" s="226"/>
      <c r="I789" s="237"/>
      <c r="J789" s="9"/>
    </row>
    <row r="790" spans="1:10" x14ac:dyDescent="0.35">
      <c r="A790" s="189"/>
      <c r="B790" s="542"/>
      <c r="C790" s="8"/>
      <c r="D790" s="8"/>
      <c r="E790" s="236"/>
      <c r="F790" s="226"/>
      <c r="G790" s="376"/>
      <c r="H790" s="226"/>
      <c r="I790" s="237"/>
      <c r="J790" s="9"/>
    </row>
    <row r="791" spans="1:10" x14ac:dyDescent="0.35">
      <c r="A791" s="189"/>
      <c r="B791" s="541"/>
      <c r="C791" s="8"/>
      <c r="D791" s="8"/>
      <c r="E791" s="236"/>
      <c r="F791" s="226"/>
      <c r="G791" s="376"/>
      <c r="H791" s="226"/>
      <c r="I791" s="237"/>
      <c r="J791" s="9"/>
    </row>
    <row r="792" spans="1:10" x14ac:dyDescent="0.35">
      <c r="A792" s="189"/>
      <c r="B792" s="542"/>
      <c r="C792" s="8"/>
      <c r="D792" s="8"/>
      <c r="E792" s="236"/>
      <c r="F792" s="226"/>
      <c r="G792" s="376"/>
      <c r="H792" s="226"/>
      <c r="I792" s="237"/>
      <c r="J792" s="9"/>
    </row>
    <row r="793" spans="1:10" x14ac:dyDescent="0.35">
      <c r="A793" s="189"/>
      <c r="B793" s="542"/>
      <c r="C793" s="8"/>
      <c r="D793" s="8"/>
      <c r="E793" s="236"/>
      <c r="F793" s="226"/>
      <c r="G793" s="376"/>
      <c r="H793" s="226"/>
      <c r="I793" s="237"/>
      <c r="J793" s="9"/>
    </row>
    <row r="794" spans="1:10" x14ac:dyDescent="0.35">
      <c r="A794" s="189"/>
      <c r="B794" s="542"/>
      <c r="C794" s="8"/>
      <c r="D794" s="8"/>
      <c r="E794" s="236"/>
      <c r="F794" s="226"/>
      <c r="G794" s="376"/>
      <c r="H794" s="226"/>
      <c r="I794" s="237"/>
      <c r="J794" s="9"/>
    </row>
    <row r="795" spans="1:10" x14ac:dyDescent="0.35">
      <c r="A795" s="189"/>
      <c r="B795" s="542"/>
      <c r="C795" s="8"/>
      <c r="D795" s="8"/>
      <c r="E795" s="236"/>
      <c r="F795" s="226"/>
      <c r="G795" s="376"/>
      <c r="H795" s="226"/>
      <c r="I795" s="237"/>
      <c r="J795" s="9"/>
    </row>
    <row r="796" spans="1:10" x14ac:dyDescent="0.35">
      <c r="A796" s="189"/>
      <c r="B796" s="542"/>
      <c r="C796" s="8"/>
      <c r="D796" s="8"/>
      <c r="E796" s="236"/>
      <c r="F796" s="226"/>
      <c r="G796" s="376"/>
      <c r="H796" s="226"/>
      <c r="I796" s="237"/>
      <c r="J796" s="9"/>
    </row>
    <row r="797" spans="1:10" x14ac:dyDescent="0.35">
      <c r="A797" s="189"/>
      <c r="B797" s="542"/>
      <c r="C797" s="8"/>
      <c r="D797" s="8"/>
      <c r="E797" s="236"/>
      <c r="F797" s="226"/>
      <c r="G797" s="376"/>
      <c r="H797" s="226"/>
      <c r="I797" s="237"/>
      <c r="J797" s="9"/>
    </row>
    <row r="798" spans="1:10" x14ac:dyDescent="0.35">
      <c r="A798" s="189"/>
      <c r="B798" s="542"/>
      <c r="C798" s="8"/>
      <c r="D798" s="8"/>
      <c r="E798" s="236"/>
      <c r="F798" s="226"/>
      <c r="G798" s="376"/>
      <c r="H798" s="226"/>
      <c r="I798" s="237"/>
      <c r="J798" s="9"/>
    </row>
    <row r="799" spans="1:10" x14ac:dyDescent="0.35">
      <c r="A799" s="189"/>
      <c r="B799" s="542"/>
      <c r="C799" s="8"/>
      <c r="D799" s="8"/>
      <c r="E799" s="236"/>
      <c r="F799" s="226"/>
      <c r="G799" s="376"/>
      <c r="H799" s="226"/>
      <c r="I799" s="237"/>
      <c r="J799" s="9"/>
    </row>
    <row r="800" spans="1:10" x14ac:dyDescent="0.35">
      <c r="A800" s="189"/>
      <c r="B800" s="542"/>
      <c r="C800" s="8"/>
      <c r="D800" s="8"/>
      <c r="E800" s="236"/>
      <c r="F800" s="226"/>
      <c r="G800" s="376"/>
      <c r="H800" s="226"/>
      <c r="I800" s="237"/>
      <c r="J800" s="9"/>
    </row>
    <row r="801" spans="1:10" x14ac:dyDescent="0.35">
      <c r="A801" s="189"/>
      <c r="B801" s="542"/>
      <c r="C801" s="8"/>
      <c r="D801" s="8"/>
      <c r="E801" s="236"/>
      <c r="F801" s="226"/>
      <c r="G801" s="376"/>
      <c r="H801" s="226"/>
      <c r="I801" s="237"/>
      <c r="J801" s="9"/>
    </row>
    <row r="802" spans="1:10" x14ac:dyDescent="0.35">
      <c r="A802" s="189"/>
      <c r="B802" s="542"/>
      <c r="C802" s="8"/>
      <c r="D802" s="8"/>
      <c r="E802" s="236"/>
      <c r="F802" s="226"/>
      <c r="G802" s="376"/>
      <c r="H802" s="226"/>
      <c r="I802" s="237"/>
      <c r="J802" s="9"/>
    </row>
    <row r="803" spans="1:10" x14ac:dyDescent="0.35">
      <c r="A803" s="189"/>
      <c r="B803" s="542"/>
      <c r="C803" s="8"/>
      <c r="D803" s="8"/>
      <c r="E803" s="236"/>
      <c r="F803" s="226"/>
      <c r="G803" s="376"/>
      <c r="H803" s="226"/>
      <c r="I803" s="237"/>
      <c r="J803" s="9"/>
    </row>
    <row r="804" spans="1:10" x14ac:dyDescent="0.35">
      <c r="A804" s="189"/>
      <c r="B804" s="542"/>
      <c r="C804" s="8"/>
      <c r="D804" s="8"/>
      <c r="E804" s="236"/>
      <c r="F804" s="226"/>
      <c r="G804" s="376"/>
      <c r="H804" s="226"/>
      <c r="I804" s="237"/>
      <c r="J804" s="9"/>
    </row>
    <row r="805" spans="1:10" x14ac:dyDescent="0.35">
      <c r="A805" s="189"/>
      <c r="B805" s="542"/>
      <c r="C805" s="8"/>
      <c r="D805" s="8"/>
      <c r="E805" s="236"/>
      <c r="F805" s="226"/>
      <c r="G805" s="376"/>
      <c r="H805" s="226"/>
      <c r="I805" s="237"/>
      <c r="J805" s="9"/>
    </row>
    <row r="806" spans="1:10" x14ac:dyDescent="0.35">
      <c r="A806" s="189"/>
      <c r="B806" s="542"/>
      <c r="C806" s="8"/>
      <c r="D806" s="8"/>
      <c r="E806" s="236"/>
      <c r="F806" s="226"/>
      <c r="G806" s="376"/>
      <c r="H806" s="226"/>
      <c r="I806" s="237"/>
      <c r="J806" s="9"/>
    </row>
    <row r="807" spans="1:10" x14ac:dyDescent="0.35">
      <c r="A807" s="189"/>
      <c r="B807" s="542"/>
      <c r="C807" s="8"/>
      <c r="D807" s="8"/>
      <c r="E807" s="236"/>
      <c r="F807" s="226"/>
      <c r="G807" s="376"/>
      <c r="H807" s="226"/>
      <c r="I807" s="237"/>
      <c r="J807" s="9"/>
    </row>
    <row r="808" spans="1:10" x14ac:dyDescent="0.35">
      <c r="A808" s="189"/>
      <c r="B808" s="541"/>
      <c r="C808" s="8"/>
      <c r="D808" s="8"/>
      <c r="E808" s="236"/>
      <c r="F808" s="226"/>
      <c r="G808" s="376"/>
      <c r="H808" s="226"/>
      <c r="I808" s="237"/>
      <c r="J808" s="9"/>
    </row>
    <row r="809" spans="1:10" x14ac:dyDescent="0.35">
      <c r="A809" s="189"/>
      <c r="B809" s="542"/>
      <c r="C809" s="8"/>
      <c r="D809" s="8"/>
      <c r="E809" s="236"/>
      <c r="F809" s="226"/>
      <c r="G809" s="376"/>
      <c r="H809" s="226"/>
      <c r="I809" s="237"/>
      <c r="J809" s="9"/>
    </row>
    <row r="810" spans="1:10" x14ac:dyDescent="0.35">
      <c r="A810" s="189"/>
      <c r="B810" s="542"/>
      <c r="C810" s="8"/>
      <c r="D810" s="8"/>
      <c r="E810" s="236"/>
      <c r="F810" s="226"/>
      <c r="G810" s="376"/>
      <c r="H810" s="226"/>
      <c r="I810" s="237"/>
      <c r="J810" s="9"/>
    </row>
    <row r="811" spans="1:10" x14ac:dyDescent="0.35">
      <c r="A811" s="189"/>
      <c r="B811" s="542"/>
      <c r="C811" s="8"/>
      <c r="D811" s="8"/>
      <c r="E811" s="236"/>
      <c r="F811" s="226"/>
      <c r="G811" s="376"/>
      <c r="H811" s="226"/>
      <c r="I811" s="237"/>
      <c r="J811" s="9"/>
    </row>
    <row r="812" spans="1:10" x14ac:dyDescent="0.35">
      <c r="A812" s="189"/>
      <c r="B812" s="542"/>
      <c r="C812" s="8"/>
      <c r="D812" s="8"/>
      <c r="E812" s="236"/>
      <c r="F812" s="226"/>
      <c r="G812" s="376"/>
      <c r="H812" s="226"/>
      <c r="I812" s="237"/>
      <c r="J812" s="9"/>
    </row>
    <row r="813" spans="1:10" x14ac:dyDescent="0.35">
      <c r="A813" s="189"/>
      <c r="B813" s="542"/>
      <c r="C813" s="8"/>
      <c r="D813" s="8"/>
      <c r="E813" s="236"/>
      <c r="F813" s="226"/>
      <c r="G813" s="376"/>
      <c r="H813" s="226"/>
      <c r="I813" s="237"/>
      <c r="J813" s="9"/>
    </row>
    <row r="814" spans="1:10" x14ac:dyDescent="0.35">
      <c r="A814" s="189"/>
      <c r="B814" s="542"/>
      <c r="C814" s="8"/>
      <c r="D814" s="8"/>
      <c r="E814" s="236"/>
      <c r="F814" s="226"/>
      <c r="G814" s="376"/>
      <c r="H814" s="226"/>
      <c r="I814" s="237"/>
      <c r="J814" s="9"/>
    </row>
    <row r="815" spans="1:10" x14ac:dyDescent="0.35">
      <c r="A815" s="189"/>
      <c r="B815" s="542"/>
      <c r="C815" s="8"/>
      <c r="D815" s="8"/>
      <c r="E815" s="236"/>
      <c r="F815" s="226"/>
      <c r="G815" s="376"/>
      <c r="H815" s="226"/>
      <c r="I815" s="237"/>
      <c r="J815" s="9"/>
    </row>
    <row r="816" spans="1:10" x14ac:dyDescent="0.35">
      <c r="A816" s="189"/>
      <c r="B816" s="542"/>
      <c r="C816" s="8"/>
      <c r="D816" s="8"/>
      <c r="E816" s="236"/>
      <c r="F816" s="226"/>
      <c r="G816" s="376"/>
      <c r="H816" s="226"/>
      <c r="I816" s="237"/>
      <c r="J816" s="9"/>
    </row>
    <row r="817" spans="1:10" x14ac:dyDescent="0.35">
      <c r="A817" s="189"/>
      <c r="B817" s="542"/>
      <c r="C817" s="8"/>
      <c r="D817" s="8"/>
      <c r="E817" s="236"/>
      <c r="F817" s="226"/>
      <c r="G817" s="376"/>
      <c r="H817" s="226"/>
      <c r="I817" s="237"/>
      <c r="J817" s="9"/>
    </row>
    <row r="818" spans="1:10" x14ac:dyDescent="0.35">
      <c r="A818" s="189"/>
      <c r="B818" s="542"/>
      <c r="C818" s="8"/>
      <c r="D818" s="8"/>
      <c r="E818" s="236"/>
      <c r="F818" s="226"/>
      <c r="G818" s="376"/>
      <c r="H818" s="226"/>
      <c r="I818" s="237"/>
      <c r="J818" s="9"/>
    </row>
    <row r="819" spans="1:10" x14ac:dyDescent="0.35">
      <c r="A819" s="189"/>
      <c r="B819" s="542"/>
      <c r="C819" s="8"/>
      <c r="D819" s="8"/>
      <c r="E819" s="236"/>
      <c r="F819" s="226"/>
      <c r="G819" s="376"/>
      <c r="H819" s="226"/>
      <c r="I819" s="237"/>
      <c r="J819" s="9"/>
    </row>
    <row r="820" spans="1:10" x14ac:dyDescent="0.35">
      <c r="A820" s="189"/>
      <c r="B820" s="542"/>
      <c r="C820" s="8"/>
      <c r="D820" s="8"/>
      <c r="E820" s="236"/>
      <c r="F820" s="226"/>
      <c r="G820" s="376"/>
      <c r="H820" s="226"/>
      <c r="I820" s="237"/>
      <c r="J820" s="9"/>
    </row>
    <row r="821" spans="1:10" x14ac:dyDescent="0.35">
      <c r="A821" s="189"/>
      <c r="B821" s="542"/>
      <c r="C821" s="8"/>
      <c r="D821" s="8"/>
      <c r="E821" s="236"/>
      <c r="F821" s="226"/>
      <c r="G821" s="376"/>
      <c r="H821" s="226"/>
      <c r="I821" s="237"/>
      <c r="J821" s="9"/>
    </row>
    <row r="822" spans="1:10" x14ac:dyDescent="0.35">
      <c r="A822" s="189"/>
      <c r="B822" s="542"/>
      <c r="C822" s="8"/>
      <c r="D822" s="8"/>
      <c r="E822" s="236"/>
      <c r="F822" s="226"/>
      <c r="G822" s="376"/>
      <c r="H822" s="226"/>
      <c r="I822" s="237"/>
      <c r="J822" s="9"/>
    </row>
    <row r="823" spans="1:10" x14ac:dyDescent="0.35">
      <c r="A823" s="189"/>
      <c r="B823" s="542"/>
      <c r="C823" s="8"/>
      <c r="D823" s="8"/>
      <c r="E823" s="236"/>
      <c r="F823" s="226"/>
      <c r="G823" s="376"/>
      <c r="H823" s="226"/>
      <c r="I823" s="237"/>
      <c r="J823" s="9"/>
    </row>
    <row r="824" spans="1:10" x14ac:dyDescent="0.35">
      <c r="A824" s="225"/>
      <c r="B824" s="545"/>
      <c r="C824" s="8"/>
      <c r="D824" s="8"/>
      <c r="E824" s="241"/>
      <c r="F824" s="227"/>
      <c r="G824" s="378"/>
      <c r="H824" s="227"/>
      <c r="I824" s="242"/>
      <c r="J824" s="9"/>
    </row>
    <row r="825" spans="1:10" x14ac:dyDescent="0.35">
      <c r="A825" s="189"/>
      <c r="B825" s="541"/>
      <c r="C825" s="8"/>
      <c r="D825" s="8"/>
      <c r="E825" s="236"/>
      <c r="F825" s="226"/>
      <c r="G825" s="376"/>
      <c r="H825" s="226"/>
      <c r="I825" s="237"/>
      <c r="J825" s="9"/>
    </row>
    <row r="826" spans="1:10" x14ac:dyDescent="0.35">
      <c r="A826" s="189"/>
      <c r="B826" s="542"/>
      <c r="C826" s="8"/>
      <c r="D826" s="8"/>
      <c r="E826" s="236"/>
      <c r="F826" s="226"/>
      <c r="G826" s="376"/>
      <c r="H826" s="226"/>
      <c r="I826" s="237"/>
      <c r="J826" s="9"/>
    </row>
    <row r="827" spans="1:10" x14ac:dyDescent="0.35">
      <c r="A827" s="189"/>
      <c r="B827" s="542"/>
      <c r="C827" s="8"/>
      <c r="D827" s="8"/>
      <c r="E827" s="236"/>
      <c r="F827" s="226"/>
      <c r="G827" s="376"/>
      <c r="H827" s="226"/>
      <c r="I827" s="237"/>
      <c r="J827" s="9"/>
    </row>
    <row r="828" spans="1:10" x14ac:dyDescent="0.35">
      <c r="A828" s="189"/>
      <c r="B828" s="542"/>
      <c r="C828" s="8"/>
      <c r="D828" s="8"/>
      <c r="E828" s="236"/>
      <c r="F828" s="226"/>
      <c r="G828" s="376"/>
      <c r="H828" s="226"/>
      <c r="I828" s="237"/>
      <c r="J828" s="9"/>
    </row>
    <row r="829" spans="1:10" x14ac:dyDescent="0.35">
      <c r="A829" s="189"/>
      <c r="B829" s="542"/>
      <c r="C829" s="8"/>
      <c r="D829" s="8"/>
      <c r="E829" s="236"/>
      <c r="F829" s="226"/>
      <c r="G829" s="376"/>
      <c r="H829" s="226"/>
      <c r="I829" s="237"/>
      <c r="J829" s="9"/>
    </row>
    <row r="830" spans="1:10" x14ac:dyDescent="0.35">
      <c r="A830" s="189"/>
      <c r="B830" s="542"/>
      <c r="C830" s="8"/>
      <c r="D830" s="8"/>
      <c r="E830" s="236"/>
      <c r="F830" s="226"/>
      <c r="G830" s="376"/>
      <c r="H830" s="226"/>
      <c r="I830" s="237"/>
      <c r="J830" s="9"/>
    </row>
    <row r="831" spans="1:10" x14ac:dyDescent="0.35">
      <c r="A831" s="189"/>
      <c r="B831" s="542"/>
      <c r="C831" s="8"/>
      <c r="D831" s="8"/>
      <c r="E831" s="236"/>
      <c r="F831" s="226"/>
      <c r="G831" s="376"/>
      <c r="H831" s="226"/>
      <c r="I831" s="237"/>
      <c r="J831" s="9"/>
    </row>
    <row r="832" spans="1:10" x14ac:dyDescent="0.35">
      <c r="A832" s="189"/>
      <c r="B832" s="542"/>
      <c r="C832" s="8"/>
      <c r="D832" s="8"/>
      <c r="E832" s="236"/>
      <c r="F832" s="226"/>
      <c r="G832" s="376"/>
      <c r="H832" s="226"/>
      <c r="I832" s="237"/>
      <c r="J832" s="9"/>
    </row>
    <row r="833" spans="1:10" x14ac:dyDescent="0.35">
      <c r="A833" s="189"/>
      <c r="B833" s="542"/>
      <c r="C833" s="8"/>
      <c r="D833" s="8"/>
      <c r="E833" s="236"/>
      <c r="F833" s="226"/>
      <c r="G833" s="376"/>
      <c r="H833" s="226"/>
      <c r="I833" s="237"/>
      <c r="J833" s="9"/>
    </row>
    <row r="834" spans="1:10" x14ac:dyDescent="0.35">
      <c r="A834" s="189"/>
      <c r="B834" s="542"/>
      <c r="C834" s="8"/>
      <c r="D834" s="8"/>
      <c r="E834" s="236"/>
      <c r="F834" s="226"/>
      <c r="G834" s="376"/>
      <c r="H834" s="226"/>
      <c r="I834" s="237"/>
      <c r="J834" s="9"/>
    </row>
    <row r="835" spans="1:10" x14ac:dyDescent="0.35">
      <c r="A835" s="189"/>
      <c r="B835" s="542"/>
      <c r="C835" s="8"/>
      <c r="D835" s="8"/>
      <c r="E835" s="236"/>
      <c r="F835" s="226"/>
      <c r="G835" s="376"/>
      <c r="H835" s="226"/>
      <c r="I835" s="237"/>
      <c r="J835" s="9"/>
    </row>
    <row r="836" spans="1:10" x14ac:dyDescent="0.35">
      <c r="A836" s="189"/>
      <c r="B836" s="542"/>
      <c r="C836" s="8"/>
      <c r="D836" s="8"/>
      <c r="E836" s="236"/>
      <c r="F836" s="226"/>
      <c r="G836" s="376"/>
      <c r="H836" s="226"/>
      <c r="I836" s="237"/>
      <c r="J836" s="9"/>
    </row>
    <row r="837" spans="1:10" x14ac:dyDescent="0.35">
      <c r="A837" s="189"/>
      <c r="B837" s="542"/>
      <c r="C837" s="8"/>
      <c r="D837" s="8"/>
      <c r="E837" s="236"/>
      <c r="F837" s="226"/>
      <c r="G837" s="376"/>
      <c r="H837" s="226"/>
      <c r="I837" s="237"/>
      <c r="J837" s="9"/>
    </row>
    <row r="838" spans="1:10" x14ac:dyDescent="0.35">
      <c r="A838" s="189"/>
      <c r="B838" s="542"/>
      <c r="C838" s="8"/>
      <c r="D838" s="8"/>
      <c r="E838" s="236"/>
      <c r="F838" s="226"/>
      <c r="G838" s="376"/>
      <c r="H838" s="226"/>
      <c r="I838" s="237"/>
      <c r="J838" s="9"/>
    </row>
    <row r="839" spans="1:10" x14ac:dyDescent="0.35">
      <c r="A839" s="189"/>
      <c r="B839" s="542"/>
      <c r="C839" s="8"/>
      <c r="D839" s="8"/>
      <c r="E839" s="236"/>
      <c r="F839" s="226"/>
      <c r="G839" s="376"/>
      <c r="H839" s="226"/>
      <c r="I839" s="237"/>
      <c r="J839" s="9"/>
    </row>
    <row r="840" spans="1:10" x14ac:dyDescent="0.35">
      <c r="A840" s="189"/>
      <c r="B840" s="542"/>
      <c r="C840" s="8"/>
      <c r="D840" s="8"/>
      <c r="E840" s="236"/>
      <c r="F840" s="226"/>
      <c r="G840" s="376"/>
      <c r="H840" s="226"/>
      <c r="I840" s="237"/>
      <c r="J840" s="9"/>
    </row>
    <row r="841" spans="1:10" x14ac:dyDescent="0.35">
      <c r="A841" s="225"/>
      <c r="B841" s="545"/>
      <c r="C841" s="8"/>
      <c r="D841" s="8"/>
      <c r="E841" s="241"/>
      <c r="F841" s="227"/>
      <c r="G841" s="378"/>
      <c r="H841" s="227"/>
      <c r="I841" s="242"/>
      <c r="J841" s="9"/>
    </row>
    <row r="842" spans="1:10" x14ac:dyDescent="0.35">
      <c r="A842" s="189"/>
      <c r="B842" s="541"/>
      <c r="C842" s="8"/>
      <c r="D842" s="8"/>
      <c r="E842" s="236"/>
      <c r="F842" s="226"/>
      <c r="G842" s="376"/>
      <c r="H842" s="226"/>
      <c r="I842" s="237"/>
      <c r="J842" s="9"/>
    </row>
    <row r="843" spans="1:10" x14ac:dyDescent="0.35">
      <c r="A843" s="189"/>
      <c r="B843" s="542"/>
      <c r="C843" s="8"/>
      <c r="D843" s="8"/>
      <c r="E843" s="236"/>
      <c r="F843" s="226"/>
      <c r="G843" s="376"/>
      <c r="H843" s="226"/>
      <c r="I843" s="237"/>
      <c r="J843" s="9"/>
    </row>
    <row r="844" spans="1:10" x14ac:dyDescent="0.35">
      <c r="A844" s="189"/>
      <c r="B844" s="542"/>
      <c r="C844" s="8"/>
      <c r="D844" s="8"/>
      <c r="E844" s="236"/>
      <c r="F844" s="226"/>
      <c r="G844" s="376"/>
      <c r="H844" s="226"/>
      <c r="I844" s="237"/>
      <c r="J844" s="9"/>
    </row>
    <row r="845" spans="1:10" x14ac:dyDescent="0.35">
      <c r="A845" s="189"/>
      <c r="B845" s="542"/>
      <c r="C845" s="8"/>
      <c r="D845" s="8"/>
      <c r="E845" s="236"/>
      <c r="F845" s="226"/>
      <c r="G845" s="376"/>
      <c r="H845" s="226"/>
      <c r="I845" s="237"/>
      <c r="J845" s="9"/>
    </row>
    <row r="846" spans="1:10" x14ac:dyDescent="0.35">
      <c r="A846" s="189"/>
      <c r="B846" s="542"/>
      <c r="C846" s="8"/>
      <c r="D846" s="8"/>
      <c r="E846" s="236"/>
      <c r="F846" s="226"/>
      <c r="G846" s="376"/>
      <c r="H846" s="226"/>
      <c r="I846" s="237"/>
      <c r="J846" s="9"/>
    </row>
    <row r="847" spans="1:10" x14ac:dyDescent="0.35">
      <c r="A847" s="189"/>
      <c r="B847" s="542"/>
      <c r="C847" s="8"/>
      <c r="D847" s="8"/>
      <c r="E847" s="236"/>
      <c r="F847" s="226"/>
      <c r="G847" s="376"/>
      <c r="H847" s="226"/>
      <c r="I847" s="237"/>
      <c r="J847" s="9"/>
    </row>
    <row r="848" spans="1:10" x14ac:dyDescent="0.35">
      <c r="A848" s="189"/>
      <c r="B848" s="542"/>
      <c r="C848" s="8"/>
      <c r="D848" s="8"/>
      <c r="E848" s="236"/>
      <c r="F848" s="226"/>
      <c r="G848" s="376"/>
      <c r="H848" s="226"/>
      <c r="I848" s="237"/>
      <c r="J848" s="9"/>
    </row>
    <row r="849" spans="1:10" x14ac:dyDescent="0.35">
      <c r="A849" s="189"/>
      <c r="B849" s="542"/>
      <c r="C849" s="8"/>
      <c r="D849" s="8"/>
      <c r="E849" s="236"/>
      <c r="F849" s="226"/>
      <c r="G849" s="376"/>
      <c r="H849" s="226"/>
      <c r="I849" s="237"/>
      <c r="J849" s="9"/>
    </row>
    <row r="850" spans="1:10" x14ac:dyDescent="0.35">
      <c r="A850" s="189"/>
      <c r="B850" s="542"/>
      <c r="C850" s="8"/>
      <c r="D850" s="8"/>
      <c r="E850" s="236"/>
      <c r="F850" s="226"/>
      <c r="G850" s="376"/>
      <c r="H850" s="226"/>
      <c r="I850" s="237"/>
      <c r="J850" s="9"/>
    </row>
    <row r="851" spans="1:10" x14ac:dyDescent="0.35">
      <c r="A851" s="189"/>
      <c r="B851" s="542"/>
      <c r="C851" s="8"/>
      <c r="D851" s="8"/>
      <c r="E851" s="236"/>
      <c r="F851" s="226"/>
      <c r="G851" s="376"/>
      <c r="H851" s="226"/>
      <c r="I851" s="237"/>
      <c r="J851" s="9"/>
    </row>
    <row r="852" spans="1:10" x14ac:dyDescent="0.35">
      <c r="A852" s="189"/>
      <c r="B852" s="542"/>
      <c r="C852" s="8"/>
      <c r="D852" s="8"/>
      <c r="E852" s="236"/>
      <c r="F852" s="226"/>
      <c r="G852" s="376"/>
      <c r="H852" s="226"/>
      <c r="I852" s="237"/>
      <c r="J852" s="9"/>
    </row>
    <row r="853" spans="1:10" x14ac:dyDescent="0.35">
      <c r="A853" s="189"/>
      <c r="B853" s="542"/>
      <c r="C853" s="8"/>
      <c r="D853" s="8"/>
      <c r="E853" s="236"/>
      <c r="F853" s="226"/>
      <c r="G853" s="376"/>
      <c r="H853" s="226"/>
      <c r="I853" s="237"/>
      <c r="J853" s="9"/>
    </row>
    <row r="854" spans="1:10" x14ac:dyDescent="0.35">
      <c r="A854" s="189"/>
      <c r="B854" s="542"/>
      <c r="C854" s="8"/>
      <c r="D854" s="8"/>
      <c r="E854" s="236"/>
      <c r="F854" s="226"/>
      <c r="G854" s="376"/>
      <c r="H854" s="226"/>
      <c r="I854" s="237"/>
      <c r="J854" s="9"/>
    </row>
    <row r="855" spans="1:10" x14ac:dyDescent="0.35">
      <c r="A855" s="189"/>
      <c r="B855" s="542"/>
      <c r="C855" s="8"/>
      <c r="D855" s="8"/>
      <c r="E855" s="236"/>
      <c r="F855" s="226"/>
      <c r="G855" s="376"/>
      <c r="H855" s="226"/>
      <c r="I855" s="237"/>
      <c r="J855" s="9"/>
    </row>
    <row r="856" spans="1:10" x14ac:dyDescent="0.35">
      <c r="A856" s="189"/>
      <c r="B856" s="542"/>
      <c r="C856" s="8"/>
      <c r="D856" s="8"/>
      <c r="E856" s="236"/>
      <c r="F856" s="226"/>
      <c r="G856" s="376"/>
      <c r="H856" s="226"/>
      <c r="I856" s="237"/>
      <c r="J856" s="9"/>
    </row>
    <row r="857" spans="1:10" x14ac:dyDescent="0.35">
      <c r="A857" s="189"/>
      <c r="B857" s="542"/>
      <c r="C857" s="8"/>
      <c r="D857" s="8"/>
      <c r="E857" s="236"/>
      <c r="F857" s="226"/>
      <c r="G857" s="376"/>
      <c r="H857" s="226"/>
      <c r="I857" s="237"/>
      <c r="J857" s="9"/>
    </row>
    <row r="858" spans="1:10" x14ac:dyDescent="0.35">
      <c r="A858" s="225"/>
      <c r="B858" s="545"/>
      <c r="C858" s="8"/>
      <c r="D858" s="8"/>
      <c r="E858" s="241"/>
      <c r="F858" s="227"/>
      <c r="G858" s="378"/>
      <c r="H858" s="227"/>
      <c r="I858" s="242"/>
      <c r="J858" s="9"/>
    </row>
    <row r="859" spans="1:10" x14ac:dyDescent="0.35">
      <c r="A859" s="189"/>
      <c r="B859" s="541"/>
      <c r="C859" s="8"/>
      <c r="D859" s="8"/>
      <c r="E859" s="236"/>
      <c r="F859" s="226"/>
      <c r="G859" s="376"/>
      <c r="H859" s="226"/>
      <c r="I859" s="237"/>
      <c r="J859" s="9"/>
    </row>
    <row r="860" spans="1:10" x14ac:dyDescent="0.35">
      <c r="A860" s="189"/>
      <c r="B860" s="542"/>
      <c r="C860" s="8"/>
      <c r="D860" s="8"/>
      <c r="E860" s="236"/>
      <c r="F860" s="226"/>
      <c r="G860" s="376"/>
      <c r="H860" s="226"/>
      <c r="I860" s="237"/>
      <c r="J860" s="9"/>
    </row>
    <row r="861" spans="1:10" x14ac:dyDescent="0.35">
      <c r="A861" s="189"/>
      <c r="B861" s="542"/>
      <c r="C861" s="8"/>
      <c r="D861" s="8"/>
      <c r="E861" s="236"/>
      <c r="F861" s="226"/>
      <c r="G861" s="376"/>
      <c r="H861" s="226"/>
      <c r="I861" s="237"/>
      <c r="J861" s="9"/>
    </row>
    <row r="862" spans="1:10" x14ac:dyDescent="0.35">
      <c r="A862" s="189"/>
      <c r="B862" s="542"/>
      <c r="C862" s="8"/>
      <c r="D862" s="8"/>
      <c r="E862" s="236"/>
      <c r="F862" s="226"/>
      <c r="G862" s="376"/>
      <c r="H862" s="226"/>
      <c r="I862" s="237"/>
      <c r="J862" s="9"/>
    </row>
    <row r="863" spans="1:10" x14ac:dyDescent="0.35">
      <c r="A863" s="189"/>
      <c r="B863" s="542"/>
      <c r="C863" s="8"/>
      <c r="D863" s="8"/>
      <c r="E863" s="236"/>
      <c r="F863" s="226"/>
      <c r="G863" s="376"/>
      <c r="H863" s="226"/>
      <c r="I863" s="237"/>
      <c r="J863" s="9"/>
    </row>
    <row r="864" spans="1:10" x14ac:dyDescent="0.35">
      <c r="A864" s="189"/>
      <c r="B864" s="542"/>
      <c r="C864" s="8"/>
      <c r="D864" s="8"/>
      <c r="E864" s="236"/>
      <c r="F864" s="226"/>
      <c r="G864" s="376"/>
      <c r="H864" s="226"/>
      <c r="I864" s="237"/>
      <c r="J864" s="9"/>
    </row>
    <row r="865" spans="1:10" x14ac:dyDescent="0.35">
      <c r="A865" s="189"/>
      <c r="B865" s="542"/>
      <c r="C865" s="8"/>
      <c r="D865" s="8"/>
      <c r="E865" s="236"/>
      <c r="F865" s="226"/>
      <c r="G865" s="376"/>
      <c r="H865" s="226"/>
      <c r="I865" s="237"/>
      <c r="J865" s="9"/>
    </row>
    <row r="866" spans="1:10" x14ac:dyDescent="0.35">
      <c r="A866" s="189"/>
      <c r="B866" s="542"/>
      <c r="C866" s="8"/>
      <c r="D866" s="8"/>
      <c r="E866" s="236"/>
      <c r="F866" s="226"/>
      <c r="G866" s="376"/>
      <c r="H866" s="226"/>
      <c r="I866" s="237"/>
      <c r="J866" s="9"/>
    </row>
    <row r="867" spans="1:10" x14ac:dyDescent="0.35">
      <c r="A867" s="189"/>
      <c r="B867" s="542"/>
      <c r="C867" s="8"/>
      <c r="D867" s="8"/>
      <c r="E867" s="236"/>
      <c r="F867" s="226"/>
      <c r="G867" s="376"/>
      <c r="H867" s="226"/>
      <c r="I867" s="237"/>
      <c r="J867" s="9"/>
    </row>
    <row r="868" spans="1:10" x14ac:dyDescent="0.35">
      <c r="A868" s="189"/>
      <c r="B868" s="542"/>
      <c r="C868" s="8"/>
      <c r="D868" s="8"/>
      <c r="E868" s="236"/>
      <c r="F868" s="226"/>
      <c r="G868" s="376"/>
      <c r="H868" s="226"/>
      <c r="I868" s="237"/>
      <c r="J868" s="9"/>
    </row>
    <row r="869" spans="1:10" x14ac:dyDescent="0.35">
      <c r="A869" s="189"/>
      <c r="B869" s="542"/>
      <c r="C869" s="8"/>
      <c r="D869" s="8"/>
      <c r="E869" s="236"/>
      <c r="F869" s="226"/>
      <c r="G869" s="376"/>
      <c r="H869" s="226"/>
      <c r="I869" s="237"/>
      <c r="J869" s="9"/>
    </row>
    <row r="870" spans="1:10" x14ac:dyDescent="0.35">
      <c r="A870" s="189"/>
      <c r="B870" s="542"/>
      <c r="C870" s="8"/>
      <c r="D870" s="8"/>
      <c r="E870" s="236"/>
      <c r="F870" s="226"/>
      <c r="G870" s="376"/>
      <c r="H870" s="226"/>
      <c r="I870" s="237"/>
      <c r="J870" s="9"/>
    </row>
    <row r="871" spans="1:10" x14ac:dyDescent="0.35">
      <c r="A871" s="189"/>
      <c r="B871" s="542"/>
      <c r="C871" s="8"/>
      <c r="D871" s="8"/>
      <c r="E871" s="236"/>
      <c r="F871" s="226"/>
      <c r="G871" s="376"/>
      <c r="H871" s="226"/>
      <c r="I871" s="237"/>
      <c r="J871" s="9"/>
    </row>
    <row r="872" spans="1:10" x14ac:dyDescent="0.35">
      <c r="A872" s="189"/>
      <c r="B872" s="542"/>
      <c r="C872" s="8"/>
      <c r="D872" s="8"/>
      <c r="E872" s="236"/>
      <c r="F872" s="226"/>
      <c r="G872" s="376"/>
      <c r="H872" s="226"/>
      <c r="I872" s="237"/>
      <c r="J872" s="9"/>
    </row>
    <row r="873" spans="1:10" x14ac:dyDescent="0.35">
      <c r="A873" s="189"/>
      <c r="B873" s="542"/>
      <c r="C873" s="8"/>
      <c r="D873" s="8"/>
      <c r="E873" s="236"/>
      <c r="F873" s="226"/>
      <c r="G873" s="376"/>
      <c r="H873" s="226"/>
      <c r="I873" s="237"/>
      <c r="J873" s="9"/>
    </row>
    <row r="874" spans="1:10" x14ac:dyDescent="0.35">
      <c r="A874" s="189"/>
      <c r="B874" s="542"/>
      <c r="C874" s="8"/>
      <c r="D874" s="8"/>
      <c r="E874" s="236"/>
      <c r="F874" s="226"/>
      <c r="G874" s="376"/>
      <c r="H874" s="226"/>
      <c r="I874" s="237"/>
      <c r="J874" s="9"/>
    </row>
    <row r="875" spans="1:10" x14ac:dyDescent="0.35">
      <c r="A875" s="225"/>
      <c r="B875" s="545"/>
      <c r="C875" s="8"/>
      <c r="D875" s="8"/>
      <c r="E875" s="241"/>
      <c r="F875" s="227"/>
      <c r="G875" s="378"/>
      <c r="H875" s="227"/>
      <c r="I875" s="242"/>
      <c r="J875" s="9"/>
    </row>
    <row r="876" spans="1:10" x14ac:dyDescent="0.35">
      <c r="A876" s="189"/>
      <c r="B876" s="541"/>
      <c r="C876" s="8"/>
      <c r="D876" s="8"/>
      <c r="E876" s="236"/>
      <c r="F876" s="226"/>
      <c r="G876" s="376"/>
      <c r="H876" s="226"/>
      <c r="I876" s="237"/>
      <c r="J876" s="9"/>
    </row>
    <row r="877" spans="1:10" x14ac:dyDescent="0.35">
      <c r="A877" s="189"/>
      <c r="B877" s="542"/>
      <c r="C877" s="8"/>
      <c r="D877" s="8"/>
      <c r="E877" s="236"/>
      <c r="F877" s="226"/>
      <c r="G877" s="376"/>
      <c r="H877" s="226"/>
      <c r="I877" s="237"/>
      <c r="J877" s="9"/>
    </row>
    <row r="878" spans="1:10" x14ac:dyDescent="0.35">
      <c r="A878" s="189"/>
      <c r="B878" s="542"/>
      <c r="C878" s="8"/>
      <c r="D878" s="8"/>
      <c r="E878" s="236"/>
      <c r="F878" s="226"/>
      <c r="G878" s="376"/>
      <c r="H878" s="226"/>
      <c r="I878" s="237"/>
      <c r="J878" s="9"/>
    </row>
    <row r="879" spans="1:10" x14ac:dyDescent="0.35">
      <c r="A879" s="189"/>
      <c r="B879" s="542"/>
      <c r="C879" s="8"/>
      <c r="D879" s="8"/>
      <c r="E879" s="236"/>
      <c r="F879" s="226"/>
      <c r="G879" s="376"/>
      <c r="H879" s="226"/>
      <c r="I879" s="237"/>
      <c r="J879" s="9"/>
    </row>
    <row r="880" spans="1:10" x14ac:dyDescent="0.35">
      <c r="A880" s="189"/>
      <c r="B880" s="542"/>
      <c r="C880" s="8"/>
      <c r="D880" s="8"/>
      <c r="E880" s="236"/>
      <c r="F880" s="226"/>
      <c r="G880" s="376"/>
      <c r="H880" s="226"/>
      <c r="I880" s="237"/>
      <c r="J880" s="9"/>
    </row>
    <row r="881" spans="1:10" x14ac:dyDescent="0.35">
      <c r="A881" s="189"/>
      <c r="B881" s="542"/>
      <c r="C881" s="8"/>
      <c r="D881" s="8"/>
      <c r="E881" s="236"/>
      <c r="F881" s="226"/>
      <c r="G881" s="376"/>
      <c r="H881" s="226"/>
      <c r="I881" s="237"/>
      <c r="J881" s="9"/>
    </row>
    <row r="882" spans="1:10" x14ac:dyDescent="0.35">
      <c r="A882" s="189"/>
      <c r="B882" s="542"/>
      <c r="C882" s="8"/>
      <c r="D882" s="8"/>
      <c r="E882" s="236"/>
      <c r="F882" s="226"/>
      <c r="G882" s="376"/>
      <c r="H882" s="226"/>
      <c r="I882" s="237"/>
      <c r="J882" s="9"/>
    </row>
    <row r="883" spans="1:10" x14ac:dyDescent="0.35">
      <c r="A883" s="189"/>
      <c r="B883" s="542"/>
      <c r="C883" s="8"/>
      <c r="D883" s="8"/>
      <c r="E883" s="236"/>
      <c r="F883" s="226"/>
      <c r="G883" s="376"/>
      <c r="H883" s="226"/>
      <c r="I883" s="237"/>
      <c r="J883" s="9"/>
    </row>
    <row r="884" spans="1:10" x14ac:dyDescent="0.35">
      <c r="A884" s="189"/>
      <c r="B884" s="542"/>
      <c r="C884" s="8"/>
      <c r="D884" s="8"/>
      <c r="E884" s="236"/>
      <c r="F884" s="226"/>
      <c r="G884" s="376"/>
      <c r="H884" s="226"/>
      <c r="I884" s="237"/>
      <c r="J884" s="9"/>
    </row>
    <row r="885" spans="1:10" x14ac:dyDescent="0.35">
      <c r="A885" s="189"/>
      <c r="B885" s="542"/>
      <c r="C885" s="8"/>
      <c r="D885" s="8"/>
      <c r="E885" s="236"/>
      <c r="F885" s="226"/>
      <c r="G885" s="376"/>
      <c r="H885" s="226"/>
      <c r="I885" s="237"/>
      <c r="J885" s="9"/>
    </row>
    <row r="886" spans="1:10" x14ac:dyDescent="0.35">
      <c r="A886" s="189"/>
      <c r="B886" s="542"/>
      <c r="C886" s="8"/>
      <c r="D886" s="8"/>
      <c r="E886" s="236"/>
      <c r="F886" s="226"/>
      <c r="G886" s="376"/>
      <c r="H886" s="226"/>
      <c r="I886" s="237"/>
      <c r="J886" s="9"/>
    </row>
    <row r="887" spans="1:10" x14ac:dyDescent="0.35">
      <c r="A887" s="189"/>
      <c r="B887" s="542"/>
      <c r="C887" s="8"/>
      <c r="D887" s="8"/>
      <c r="E887" s="236"/>
      <c r="F887" s="226"/>
      <c r="G887" s="376"/>
      <c r="H887" s="226"/>
      <c r="I887" s="237"/>
      <c r="J887" s="9"/>
    </row>
    <row r="888" spans="1:10" x14ac:dyDescent="0.35">
      <c r="A888" s="189"/>
      <c r="B888" s="542"/>
      <c r="C888" s="8"/>
      <c r="D888" s="8"/>
      <c r="E888" s="236"/>
      <c r="F888" s="226"/>
      <c r="G888" s="376"/>
      <c r="H888" s="226"/>
      <c r="I888" s="237"/>
      <c r="J888" s="9"/>
    </row>
    <row r="889" spans="1:10" x14ac:dyDescent="0.35">
      <c r="A889" s="189"/>
      <c r="B889" s="542"/>
      <c r="C889" s="8"/>
      <c r="D889" s="8"/>
      <c r="E889" s="236"/>
      <c r="F889" s="226"/>
      <c r="G889" s="376"/>
      <c r="H889" s="226"/>
      <c r="I889" s="237"/>
      <c r="J889" s="9"/>
    </row>
    <row r="890" spans="1:10" x14ac:dyDescent="0.35">
      <c r="A890" s="189"/>
      <c r="B890" s="542"/>
      <c r="C890" s="8"/>
      <c r="D890" s="8"/>
      <c r="E890" s="236"/>
      <c r="F890" s="226"/>
      <c r="G890" s="376"/>
      <c r="H890" s="226"/>
      <c r="I890" s="237"/>
      <c r="J890" s="9"/>
    </row>
    <row r="891" spans="1:10" x14ac:dyDescent="0.35">
      <c r="A891" s="189"/>
      <c r="B891" s="542"/>
      <c r="C891" s="8"/>
      <c r="D891" s="8"/>
      <c r="E891" s="236"/>
      <c r="F891" s="226"/>
      <c r="G891" s="376"/>
      <c r="H891" s="226"/>
      <c r="I891" s="237"/>
      <c r="J891" s="9"/>
    </row>
    <row r="892" spans="1:10" x14ac:dyDescent="0.35">
      <c r="A892" s="225"/>
      <c r="B892" s="545"/>
      <c r="C892" s="8"/>
      <c r="D892" s="8"/>
      <c r="E892" s="241"/>
      <c r="F892" s="227"/>
      <c r="G892" s="378"/>
      <c r="H892" s="227"/>
      <c r="I892" s="242"/>
      <c r="J892" s="9"/>
    </row>
    <row r="893" spans="1:10" x14ac:dyDescent="0.35">
      <c r="A893" s="189"/>
      <c r="B893" s="541"/>
      <c r="C893" s="8"/>
      <c r="D893" s="8"/>
      <c r="E893" s="236"/>
      <c r="F893" s="226"/>
      <c r="G893" s="376"/>
      <c r="H893" s="226"/>
      <c r="I893" s="237"/>
      <c r="J893" s="9"/>
    </row>
    <row r="894" spans="1:10" x14ac:dyDescent="0.35">
      <c r="A894" s="189"/>
      <c r="B894" s="542"/>
      <c r="C894" s="8"/>
      <c r="D894" s="8"/>
      <c r="E894" s="236"/>
      <c r="F894" s="226"/>
      <c r="G894" s="376"/>
      <c r="H894" s="226"/>
      <c r="I894" s="237"/>
      <c r="J894" s="9"/>
    </row>
    <row r="895" spans="1:10" x14ac:dyDescent="0.35">
      <c r="A895" s="189"/>
      <c r="B895" s="542"/>
      <c r="C895" s="8"/>
      <c r="D895" s="8"/>
      <c r="E895" s="236"/>
      <c r="F895" s="226"/>
      <c r="G895" s="376"/>
      <c r="H895" s="226"/>
      <c r="I895" s="237"/>
      <c r="J895" s="9"/>
    </row>
    <row r="896" spans="1:10" x14ac:dyDescent="0.35">
      <c r="A896" s="189"/>
      <c r="B896" s="542"/>
      <c r="C896" s="8"/>
      <c r="D896" s="8"/>
      <c r="E896" s="236"/>
      <c r="F896" s="226"/>
      <c r="G896" s="376"/>
      <c r="H896" s="226"/>
      <c r="I896" s="237"/>
      <c r="J896" s="9"/>
    </row>
    <row r="897" spans="1:10" x14ac:dyDescent="0.35">
      <c r="A897" s="189"/>
      <c r="B897" s="542"/>
      <c r="C897" s="8"/>
      <c r="D897" s="8"/>
      <c r="E897" s="236"/>
      <c r="F897" s="226"/>
      <c r="G897" s="376"/>
      <c r="H897" s="226"/>
      <c r="I897" s="237"/>
      <c r="J897" s="9"/>
    </row>
    <row r="898" spans="1:10" x14ac:dyDescent="0.35">
      <c r="A898" s="189"/>
      <c r="B898" s="542"/>
      <c r="C898" s="8"/>
      <c r="D898" s="8"/>
      <c r="E898" s="236"/>
      <c r="F898" s="226"/>
      <c r="G898" s="376"/>
      <c r="H898" s="226"/>
      <c r="I898" s="237"/>
      <c r="J898" s="9"/>
    </row>
    <row r="899" spans="1:10" x14ac:dyDescent="0.35">
      <c r="A899" s="189"/>
      <c r="B899" s="542"/>
      <c r="C899" s="8"/>
      <c r="D899" s="8"/>
      <c r="E899" s="236"/>
      <c r="F899" s="226"/>
      <c r="G899" s="376"/>
      <c r="H899" s="226"/>
      <c r="I899" s="237"/>
      <c r="J899" s="9"/>
    </row>
    <row r="900" spans="1:10" x14ac:dyDescent="0.35">
      <c r="A900" s="189"/>
      <c r="B900" s="542"/>
      <c r="C900" s="8"/>
      <c r="D900" s="8"/>
      <c r="E900" s="236"/>
      <c r="F900" s="226"/>
      <c r="G900" s="376"/>
      <c r="H900" s="226"/>
      <c r="I900" s="237"/>
      <c r="J900" s="9"/>
    </row>
    <row r="901" spans="1:10" x14ac:dyDescent="0.35">
      <c r="A901" s="189"/>
      <c r="B901" s="542"/>
      <c r="C901" s="8"/>
      <c r="D901" s="8"/>
      <c r="E901" s="236"/>
      <c r="F901" s="226"/>
      <c r="G901" s="376"/>
      <c r="H901" s="226"/>
      <c r="I901" s="237"/>
      <c r="J901" s="9"/>
    </row>
    <row r="902" spans="1:10" x14ac:dyDescent="0.35">
      <c r="A902" s="189"/>
      <c r="B902" s="542"/>
      <c r="C902" s="8"/>
      <c r="D902" s="8"/>
      <c r="E902" s="236"/>
      <c r="F902" s="226"/>
      <c r="G902" s="376"/>
      <c r="H902" s="226"/>
      <c r="I902" s="237"/>
      <c r="J902" s="9"/>
    </row>
    <row r="903" spans="1:10" x14ac:dyDescent="0.35">
      <c r="A903" s="189"/>
      <c r="B903" s="542"/>
      <c r="C903" s="8"/>
      <c r="D903" s="8"/>
      <c r="E903" s="236"/>
      <c r="F903" s="226"/>
      <c r="G903" s="376"/>
      <c r="H903" s="226"/>
      <c r="I903" s="237"/>
      <c r="J903" s="9"/>
    </row>
    <row r="904" spans="1:10" x14ac:dyDescent="0.35">
      <c r="A904" s="189"/>
      <c r="B904" s="542"/>
      <c r="C904" s="8"/>
      <c r="D904" s="8"/>
      <c r="E904" s="236"/>
      <c r="F904" s="226"/>
      <c r="G904" s="376"/>
      <c r="H904" s="226"/>
      <c r="I904" s="237"/>
      <c r="J904" s="9"/>
    </row>
    <row r="905" spans="1:10" x14ac:dyDescent="0.35">
      <c r="A905" s="189"/>
      <c r="B905" s="542"/>
      <c r="C905" s="8"/>
      <c r="D905" s="8"/>
      <c r="E905" s="236"/>
      <c r="F905" s="226"/>
      <c r="G905" s="376"/>
      <c r="H905" s="226"/>
      <c r="I905" s="237"/>
      <c r="J905" s="9"/>
    </row>
    <row r="906" spans="1:10" x14ac:dyDescent="0.35">
      <c r="A906" s="189"/>
      <c r="B906" s="542"/>
      <c r="C906" s="8"/>
      <c r="D906" s="8"/>
      <c r="E906" s="236"/>
      <c r="F906" s="226"/>
      <c r="G906" s="376"/>
      <c r="H906" s="226"/>
      <c r="I906" s="237"/>
      <c r="J906" s="9"/>
    </row>
    <row r="907" spans="1:10" x14ac:dyDescent="0.35">
      <c r="A907" s="189"/>
      <c r="B907" s="542"/>
      <c r="C907" s="8"/>
      <c r="D907" s="8"/>
      <c r="E907" s="236"/>
      <c r="F907" s="226"/>
      <c r="G907" s="376"/>
      <c r="H907" s="226"/>
      <c r="I907" s="237"/>
      <c r="J907" s="9"/>
    </row>
    <row r="908" spans="1:10" x14ac:dyDescent="0.35">
      <c r="A908" s="189"/>
      <c r="B908" s="542"/>
      <c r="C908" s="8"/>
      <c r="D908" s="8"/>
      <c r="E908" s="236"/>
      <c r="F908" s="226"/>
      <c r="G908" s="376"/>
      <c r="H908" s="226"/>
      <c r="I908" s="237"/>
      <c r="J908" s="9"/>
    </row>
    <row r="909" spans="1:10" x14ac:dyDescent="0.35">
      <c r="A909" s="225"/>
      <c r="B909" s="545"/>
      <c r="C909" s="8"/>
      <c r="D909" s="8"/>
      <c r="E909" s="241"/>
      <c r="F909" s="227"/>
      <c r="G909" s="378"/>
      <c r="H909" s="227"/>
      <c r="I909" s="242"/>
      <c r="J909" s="9"/>
    </row>
    <row r="910" spans="1:10" x14ac:dyDescent="0.35">
      <c r="A910" s="189"/>
      <c r="B910" s="541"/>
      <c r="C910" s="8"/>
      <c r="D910" s="8"/>
      <c r="E910" s="236"/>
      <c r="F910" s="226"/>
      <c r="G910" s="376"/>
      <c r="H910" s="226"/>
      <c r="I910" s="237"/>
      <c r="J910" s="9"/>
    </row>
    <row r="911" spans="1:10" x14ac:dyDescent="0.35">
      <c r="A911" s="189"/>
      <c r="B911" s="542"/>
      <c r="C911" s="8"/>
      <c r="D911" s="8"/>
      <c r="E911" s="236"/>
      <c r="F911" s="226"/>
      <c r="G911" s="376"/>
      <c r="H911" s="226"/>
      <c r="I911" s="237"/>
      <c r="J911" s="9"/>
    </row>
    <row r="912" spans="1:10" x14ac:dyDescent="0.35">
      <c r="A912" s="189"/>
      <c r="B912" s="542"/>
      <c r="C912" s="8"/>
      <c r="D912" s="8"/>
      <c r="E912" s="236"/>
      <c r="F912" s="226"/>
      <c r="G912" s="376"/>
      <c r="H912" s="226"/>
      <c r="I912" s="237"/>
      <c r="J912" s="9"/>
    </row>
    <row r="913" spans="1:10" x14ac:dyDescent="0.35">
      <c r="A913" s="189"/>
      <c r="B913" s="542"/>
      <c r="C913" s="8"/>
      <c r="D913" s="8"/>
      <c r="E913" s="236"/>
      <c r="F913" s="226"/>
      <c r="G913" s="376"/>
      <c r="H913" s="226"/>
      <c r="I913" s="237"/>
      <c r="J913" s="9"/>
    </row>
    <row r="914" spans="1:10" x14ac:dyDescent="0.35">
      <c r="A914" s="189"/>
      <c r="B914" s="542"/>
      <c r="C914" s="8"/>
      <c r="D914" s="8"/>
      <c r="E914" s="236"/>
      <c r="F914" s="226"/>
      <c r="G914" s="376"/>
      <c r="H914" s="226"/>
      <c r="I914" s="237"/>
      <c r="J914" s="9"/>
    </row>
    <row r="915" spans="1:10" x14ac:dyDescent="0.35">
      <c r="A915" s="189"/>
      <c r="B915" s="542"/>
      <c r="C915" s="8"/>
      <c r="D915" s="8"/>
      <c r="E915" s="236"/>
      <c r="F915" s="226"/>
      <c r="G915" s="376"/>
      <c r="H915" s="226"/>
      <c r="I915" s="237"/>
      <c r="J915" s="9"/>
    </row>
    <row r="916" spans="1:10" x14ac:dyDescent="0.35">
      <c r="A916" s="189"/>
      <c r="B916" s="542"/>
      <c r="C916" s="8"/>
      <c r="D916" s="8"/>
      <c r="E916" s="236"/>
      <c r="F916" s="226"/>
      <c r="G916" s="376"/>
      <c r="H916" s="226"/>
      <c r="I916" s="237"/>
      <c r="J916" s="9"/>
    </row>
    <row r="917" spans="1:10" x14ac:dyDescent="0.35">
      <c r="A917" s="189"/>
      <c r="B917" s="542"/>
      <c r="C917" s="8"/>
      <c r="D917" s="8"/>
      <c r="E917" s="236"/>
      <c r="F917" s="226"/>
      <c r="G917" s="376"/>
      <c r="H917" s="226"/>
      <c r="I917" s="237"/>
      <c r="J917" s="9"/>
    </row>
    <row r="918" spans="1:10" x14ac:dyDescent="0.35">
      <c r="A918" s="189"/>
      <c r="B918" s="542"/>
      <c r="C918" s="8"/>
      <c r="D918" s="8"/>
      <c r="E918" s="236"/>
      <c r="F918" s="226"/>
      <c r="G918" s="376"/>
      <c r="H918" s="226"/>
      <c r="I918" s="237"/>
      <c r="J918" s="9"/>
    </row>
    <row r="919" spans="1:10" x14ac:dyDescent="0.35">
      <c r="A919" s="189"/>
      <c r="B919" s="542"/>
      <c r="C919" s="8"/>
      <c r="D919" s="8"/>
      <c r="E919" s="236"/>
      <c r="F919" s="226"/>
      <c r="G919" s="376"/>
      <c r="H919" s="226"/>
      <c r="I919" s="237"/>
      <c r="J919" s="9"/>
    </row>
    <row r="920" spans="1:10" x14ac:dyDescent="0.35">
      <c r="A920" s="189"/>
      <c r="B920" s="542"/>
      <c r="C920" s="8"/>
      <c r="D920" s="8"/>
      <c r="E920" s="236"/>
      <c r="F920" s="226"/>
      <c r="G920" s="376"/>
      <c r="H920" s="226"/>
      <c r="I920" s="237"/>
      <c r="J920" s="9"/>
    </row>
    <row r="921" spans="1:10" x14ac:dyDescent="0.35">
      <c r="A921" s="189"/>
      <c r="B921" s="542"/>
      <c r="C921" s="8"/>
      <c r="D921" s="8"/>
      <c r="E921" s="236"/>
      <c r="F921" s="226"/>
      <c r="G921" s="376"/>
      <c r="H921" s="226"/>
      <c r="I921" s="237"/>
      <c r="J921" s="9"/>
    </row>
    <row r="922" spans="1:10" x14ac:dyDescent="0.35">
      <c r="A922" s="189"/>
      <c r="B922" s="542"/>
      <c r="C922" s="8"/>
      <c r="D922" s="8"/>
      <c r="E922" s="236"/>
      <c r="F922" s="226"/>
      <c r="G922" s="376"/>
      <c r="H922" s="226"/>
      <c r="I922" s="237"/>
      <c r="J922" s="9"/>
    </row>
    <row r="923" spans="1:10" x14ac:dyDescent="0.35">
      <c r="A923" s="189"/>
      <c r="B923" s="542"/>
      <c r="C923" s="8"/>
      <c r="D923" s="8"/>
      <c r="E923" s="236"/>
      <c r="F923" s="226"/>
      <c r="G923" s="376"/>
      <c r="H923" s="226"/>
      <c r="I923" s="237"/>
      <c r="J923" s="9"/>
    </row>
    <row r="924" spans="1:10" x14ac:dyDescent="0.35">
      <c r="A924" s="189"/>
      <c r="B924" s="542"/>
      <c r="C924" s="8"/>
      <c r="D924" s="8"/>
      <c r="E924" s="236"/>
      <c r="F924" s="226"/>
      <c r="G924" s="376"/>
      <c r="H924" s="226"/>
      <c r="I924" s="237"/>
      <c r="J924" s="9"/>
    </row>
    <row r="925" spans="1:10" x14ac:dyDescent="0.35">
      <c r="A925" s="189"/>
      <c r="B925" s="542"/>
      <c r="C925" s="8"/>
      <c r="D925" s="8"/>
      <c r="E925" s="236"/>
      <c r="F925" s="226"/>
      <c r="G925" s="376"/>
      <c r="H925" s="226"/>
      <c r="I925" s="237"/>
      <c r="J925" s="9"/>
    </row>
    <row r="926" spans="1:10" x14ac:dyDescent="0.35">
      <c r="A926" s="225"/>
      <c r="B926" s="545"/>
      <c r="C926" s="8"/>
      <c r="D926" s="8"/>
      <c r="E926" s="241"/>
      <c r="F926" s="227"/>
      <c r="G926" s="378"/>
      <c r="H926" s="227"/>
      <c r="I926" s="242"/>
      <c r="J926" s="9"/>
    </row>
    <row r="927" spans="1:10" x14ac:dyDescent="0.35">
      <c r="A927" s="189"/>
      <c r="B927" s="541"/>
      <c r="C927" s="8"/>
      <c r="D927" s="8"/>
      <c r="E927" s="236"/>
      <c r="F927" s="226"/>
      <c r="G927" s="376"/>
      <c r="H927" s="226"/>
      <c r="I927" s="237"/>
      <c r="J927" s="9"/>
    </row>
    <row r="928" spans="1:10" x14ac:dyDescent="0.35">
      <c r="A928" s="189"/>
      <c r="B928" s="542"/>
      <c r="C928" s="8"/>
      <c r="D928" s="8"/>
      <c r="E928" s="236"/>
      <c r="F928" s="226"/>
      <c r="G928" s="376"/>
      <c r="H928" s="226"/>
      <c r="I928" s="237"/>
      <c r="J928" s="9"/>
    </row>
    <row r="929" spans="1:10" x14ac:dyDescent="0.35">
      <c r="A929" s="189"/>
      <c r="B929" s="542"/>
      <c r="C929" s="8"/>
      <c r="D929" s="8"/>
      <c r="E929" s="236"/>
      <c r="F929" s="226"/>
      <c r="G929" s="376"/>
      <c r="H929" s="226"/>
      <c r="I929" s="237"/>
      <c r="J929" s="9"/>
    </row>
    <row r="930" spans="1:10" x14ac:dyDescent="0.35">
      <c r="A930" s="189"/>
      <c r="B930" s="542"/>
      <c r="C930" s="8"/>
      <c r="D930" s="8"/>
      <c r="E930" s="236"/>
      <c r="F930" s="226"/>
      <c r="G930" s="376"/>
      <c r="H930" s="226"/>
      <c r="I930" s="237"/>
      <c r="J930" s="9"/>
    </row>
    <row r="931" spans="1:10" x14ac:dyDescent="0.35">
      <c r="A931" s="189"/>
      <c r="B931" s="542"/>
      <c r="C931" s="8"/>
      <c r="D931" s="8"/>
      <c r="E931" s="236"/>
      <c r="F931" s="226"/>
      <c r="G931" s="376"/>
      <c r="H931" s="226"/>
      <c r="I931" s="237"/>
      <c r="J931" s="9"/>
    </row>
    <row r="932" spans="1:10" x14ac:dyDescent="0.35">
      <c r="A932" s="189"/>
      <c r="B932" s="542"/>
      <c r="C932" s="8"/>
      <c r="D932" s="8"/>
      <c r="E932" s="236"/>
      <c r="F932" s="226"/>
      <c r="G932" s="376"/>
      <c r="H932" s="226"/>
      <c r="I932" s="237"/>
      <c r="J932" s="9"/>
    </row>
    <row r="933" spans="1:10" x14ac:dyDescent="0.35">
      <c r="A933" s="189"/>
      <c r="B933" s="542"/>
      <c r="C933" s="8"/>
      <c r="D933" s="8"/>
      <c r="E933" s="236"/>
      <c r="F933" s="226"/>
      <c r="G933" s="376"/>
      <c r="H933" s="226"/>
      <c r="I933" s="237"/>
      <c r="J933" s="9"/>
    </row>
    <row r="934" spans="1:10" x14ac:dyDescent="0.35">
      <c r="A934" s="189"/>
      <c r="B934" s="542"/>
      <c r="C934" s="8"/>
      <c r="D934" s="8"/>
      <c r="E934" s="236"/>
      <c r="F934" s="226"/>
      <c r="G934" s="376"/>
      <c r="H934" s="226"/>
      <c r="I934" s="237"/>
      <c r="J934" s="9"/>
    </row>
    <row r="935" spans="1:10" x14ac:dyDescent="0.35">
      <c r="A935" s="189"/>
      <c r="B935" s="542"/>
      <c r="C935" s="8"/>
      <c r="D935" s="8"/>
      <c r="E935" s="236"/>
      <c r="F935" s="226"/>
      <c r="G935" s="376"/>
      <c r="H935" s="226"/>
      <c r="I935" s="237"/>
      <c r="J935" s="9"/>
    </row>
    <row r="936" spans="1:10" x14ac:dyDescent="0.35">
      <c r="A936" s="189"/>
      <c r="B936" s="542"/>
      <c r="C936" s="8"/>
      <c r="D936" s="8"/>
      <c r="E936" s="236"/>
      <c r="F936" s="226"/>
      <c r="G936" s="376"/>
      <c r="H936" s="226"/>
      <c r="I936" s="237"/>
      <c r="J936" s="9"/>
    </row>
    <row r="937" spans="1:10" x14ac:dyDescent="0.35">
      <c r="A937" s="189"/>
      <c r="B937" s="542"/>
      <c r="C937" s="8"/>
      <c r="D937" s="8"/>
      <c r="E937" s="236"/>
      <c r="F937" s="226"/>
      <c r="G937" s="376"/>
      <c r="H937" s="226"/>
      <c r="I937" s="237"/>
      <c r="J937" s="9"/>
    </row>
    <row r="938" spans="1:10" x14ac:dyDescent="0.35">
      <c r="A938" s="189"/>
      <c r="B938" s="542"/>
      <c r="C938" s="8"/>
      <c r="D938" s="8"/>
      <c r="E938" s="236"/>
      <c r="F938" s="226"/>
      <c r="G938" s="376"/>
      <c r="H938" s="226"/>
      <c r="I938" s="237"/>
      <c r="J938" s="9"/>
    </row>
    <row r="939" spans="1:10" x14ac:dyDescent="0.35">
      <c r="A939" s="189"/>
      <c r="B939" s="542"/>
      <c r="C939" s="8"/>
      <c r="D939" s="8"/>
      <c r="E939" s="236"/>
      <c r="F939" s="226"/>
      <c r="G939" s="376"/>
      <c r="H939" s="226"/>
      <c r="I939" s="237"/>
      <c r="J939" s="9"/>
    </row>
    <row r="940" spans="1:10" x14ac:dyDescent="0.35">
      <c r="A940" s="189"/>
      <c r="B940" s="542"/>
      <c r="C940" s="8"/>
      <c r="D940" s="8"/>
      <c r="E940" s="236"/>
      <c r="F940" s="226"/>
      <c r="G940" s="376"/>
      <c r="H940" s="226"/>
      <c r="I940" s="237"/>
      <c r="J940" s="9"/>
    </row>
    <row r="941" spans="1:10" x14ac:dyDescent="0.35">
      <c r="A941" s="189"/>
      <c r="B941" s="542"/>
      <c r="C941" s="8"/>
      <c r="D941" s="8"/>
      <c r="E941" s="236"/>
      <c r="F941" s="226"/>
      <c r="G941" s="376"/>
      <c r="H941" s="226"/>
      <c r="I941" s="237"/>
      <c r="J941" s="9"/>
    </row>
    <row r="942" spans="1:10" x14ac:dyDescent="0.35">
      <c r="A942" s="189"/>
      <c r="B942" s="542"/>
      <c r="C942" s="8"/>
      <c r="D942" s="8"/>
      <c r="E942" s="236"/>
      <c r="F942" s="226"/>
      <c r="G942" s="376"/>
      <c r="H942" s="226"/>
      <c r="I942" s="237"/>
      <c r="J942" s="9"/>
    </row>
    <row r="943" spans="1:10" x14ac:dyDescent="0.35">
      <c r="A943" s="225"/>
      <c r="B943" s="545"/>
      <c r="C943" s="8"/>
      <c r="D943" s="8"/>
      <c r="E943" s="241"/>
      <c r="F943" s="227"/>
      <c r="G943" s="378"/>
      <c r="H943" s="227"/>
      <c r="I943" s="242"/>
      <c r="J943" s="9"/>
    </row>
    <row r="944" spans="1:10" x14ac:dyDescent="0.35">
      <c r="A944" s="189"/>
      <c r="B944" s="541"/>
      <c r="C944" s="8"/>
      <c r="D944" s="8"/>
      <c r="E944" s="236"/>
      <c r="F944" s="226"/>
      <c r="G944" s="376"/>
      <c r="H944" s="226"/>
      <c r="I944" s="237"/>
      <c r="J944" s="9"/>
    </row>
    <row r="945" spans="1:10" x14ac:dyDescent="0.35">
      <c r="A945" s="189"/>
      <c r="B945" s="542"/>
      <c r="C945" s="8"/>
      <c r="D945" s="8"/>
      <c r="E945" s="236"/>
      <c r="F945" s="226"/>
      <c r="G945" s="376"/>
      <c r="H945" s="226"/>
      <c r="I945" s="237"/>
      <c r="J945" s="9"/>
    </row>
    <row r="946" spans="1:10" x14ac:dyDescent="0.35">
      <c r="A946" s="189"/>
      <c r="B946" s="542"/>
      <c r="C946" s="8"/>
      <c r="D946" s="8"/>
      <c r="E946" s="236"/>
      <c r="F946" s="226"/>
      <c r="G946" s="376"/>
      <c r="H946" s="226"/>
      <c r="I946" s="237"/>
      <c r="J946" s="9"/>
    </row>
    <row r="947" spans="1:10" x14ac:dyDescent="0.35">
      <c r="A947" s="189"/>
      <c r="B947" s="542"/>
      <c r="C947" s="8"/>
      <c r="D947" s="8"/>
      <c r="E947" s="236"/>
      <c r="F947" s="226"/>
      <c r="G947" s="376"/>
      <c r="H947" s="226"/>
      <c r="I947" s="237"/>
      <c r="J947" s="9"/>
    </row>
    <row r="948" spans="1:10" x14ac:dyDescent="0.35">
      <c r="A948" s="189"/>
      <c r="B948" s="542"/>
      <c r="C948" s="8"/>
      <c r="D948" s="8"/>
      <c r="E948" s="236"/>
      <c r="F948" s="226"/>
      <c r="G948" s="376"/>
      <c r="H948" s="226"/>
      <c r="I948" s="237"/>
      <c r="J948" s="9"/>
    </row>
    <row r="949" spans="1:10" x14ac:dyDescent="0.35">
      <c r="A949" s="189"/>
      <c r="B949" s="542"/>
      <c r="C949" s="8"/>
      <c r="D949" s="8"/>
      <c r="E949" s="236"/>
      <c r="F949" s="226"/>
      <c r="G949" s="376"/>
      <c r="H949" s="226"/>
      <c r="I949" s="237"/>
      <c r="J949" s="9"/>
    </row>
    <row r="950" spans="1:10" x14ac:dyDescent="0.35">
      <c r="A950" s="189"/>
      <c r="B950" s="542"/>
      <c r="C950" s="8"/>
      <c r="D950" s="8"/>
      <c r="E950" s="236"/>
      <c r="F950" s="226"/>
      <c r="G950" s="376"/>
      <c r="H950" s="226"/>
      <c r="I950" s="237"/>
      <c r="J950" s="9"/>
    </row>
    <row r="951" spans="1:10" x14ac:dyDescent="0.35">
      <c r="A951" s="189"/>
      <c r="B951" s="542"/>
      <c r="C951" s="8"/>
      <c r="D951" s="8"/>
      <c r="E951" s="236"/>
      <c r="F951" s="226"/>
      <c r="G951" s="376"/>
      <c r="H951" s="226"/>
      <c r="I951" s="237"/>
      <c r="J951" s="9"/>
    </row>
    <row r="952" spans="1:10" x14ac:dyDescent="0.35">
      <c r="A952" s="189"/>
      <c r="B952" s="542"/>
      <c r="C952" s="8"/>
      <c r="D952" s="8"/>
      <c r="E952" s="236"/>
      <c r="F952" s="226"/>
      <c r="G952" s="376"/>
      <c r="H952" s="226"/>
      <c r="I952" s="237"/>
      <c r="J952" s="9"/>
    </row>
    <row r="953" spans="1:10" x14ac:dyDescent="0.35">
      <c r="A953" s="189"/>
      <c r="B953" s="542"/>
      <c r="C953" s="8"/>
      <c r="D953" s="8"/>
      <c r="E953" s="236"/>
      <c r="F953" s="226"/>
      <c r="G953" s="376"/>
      <c r="H953" s="226"/>
      <c r="I953" s="237"/>
      <c r="J953" s="9"/>
    </row>
    <row r="954" spans="1:10" x14ac:dyDescent="0.35">
      <c r="A954" s="189"/>
      <c r="B954" s="542"/>
      <c r="C954" s="8"/>
      <c r="D954" s="8"/>
      <c r="E954" s="236"/>
      <c r="F954" s="226"/>
      <c r="G954" s="376"/>
      <c r="H954" s="226"/>
      <c r="I954" s="237"/>
      <c r="J954" s="9"/>
    </row>
    <row r="955" spans="1:10" x14ac:dyDescent="0.35">
      <c r="A955" s="189"/>
      <c r="B955" s="542"/>
      <c r="C955" s="8"/>
      <c r="D955" s="8"/>
      <c r="E955" s="236"/>
      <c r="F955" s="226"/>
      <c r="G955" s="376"/>
      <c r="H955" s="226"/>
      <c r="I955" s="237"/>
      <c r="J955" s="9"/>
    </row>
    <row r="956" spans="1:10" x14ac:dyDescent="0.35">
      <c r="A956" s="189"/>
      <c r="B956" s="542"/>
      <c r="C956" s="8"/>
      <c r="D956" s="8"/>
      <c r="E956" s="236"/>
      <c r="F956" s="226"/>
      <c r="G956" s="376"/>
      <c r="H956" s="226"/>
      <c r="I956" s="237"/>
      <c r="J956" s="9"/>
    </row>
    <row r="957" spans="1:10" x14ac:dyDescent="0.35">
      <c r="A957" s="189"/>
      <c r="B957" s="542"/>
      <c r="C957" s="8"/>
      <c r="D957" s="8"/>
      <c r="E957" s="236"/>
      <c r="F957" s="226"/>
      <c r="G957" s="376"/>
      <c r="H957" s="226"/>
      <c r="I957" s="237"/>
      <c r="J957" s="9"/>
    </row>
    <row r="958" spans="1:10" x14ac:dyDescent="0.35">
      <c r="A958" s="189"/>
      <c r="B958" s="542"/>
      <c r="C958" s="8"/>
      <c r="D958" s="8"/>
      <c r="E958" s="236"/>
      <c r="F958" s="226"/>
      <c r="G958" s="376"/>
      <c r="H958" s="226"/>
      <c r="I958" s="237"/>
      <c r="J958" s="9"/>
    </row>
    <row r="959" spans="1:10" x14ac:dyDescent="0.35">
      <c r="A959" s="189"/>
      <c r="B959" s="542"/>
      <c r="C959" s="8"/>
      <c r="D959" s="8"/>
      <c r="E959" s="236"/>
      <c r="F959" s="226"/>
      <c r="G959" s="376"/>
      <c r="H959" s="226"/>
      <c r="I959" s="237"/>
      <c r="J959" s="9"/>
    </row>
    <row r="960" spans="1:10" x14ac:dyDescent="0.35">
      <c r="A960" s="225"/>
      <c r="B960" s="545"/>
      <c r="C960" s="8"/>
      <c r="D960" s="8"/>
      <c r="E960" s="241"/>
      <c r="F960" s="227"/>
      <c r="G960" s="378"/>
      <c r="H960" s="227"/>
      <c r="I960" s="242"/>
      <c r="J960" s="9"/>
    </row>
    <row r="961" spans="1:10" x14ac:dyDescent="0.35">
      <c r="A961" s="189"/>
      <c r="B961" s="541"/>
      <c r="C961" s="8"/>
      <c r="D961" s="8"/>
      <c r="E961" s="236"/>
      <c r="F961" s="226"/>
      <c r="G961" s="376"/>
      <c r="H961" s="226"/>
      <c r="I961" s="237"/>
      <c r="J961" s="9"/>
    </row>
    <row r="962" spans="1:10" x14ac:dyDescent="0.35">
      <c r="A962" s="189"/>
      <c r="B962" s="542"/>
      <c r="C962" s="8"/>
      <c r="D962" s="8"/>
      <c r="E962" s="236"/>
      <c r="F962" s="226"/>
      <c r="G962" s="376"/>
      <c r="H962" s="226"/>
      <c r="I962" s="237"/>
      <c r="J962" s="9"/>
    </row>
    <row r="963" spans="1:10" x14ac:dyDescent="0.35">
      <c r="A963" s="189"/>
      <c r="B963" s="542"/>
      <c r="C963" s="8"/>
      <c r="D963" s="8"/>
      <c r="E963" s="236"/>
      <c r="F963" s="226"/>
      <c r="G963" s="376"/>
      <c r="H963" s="226"/>
      <c r="I963" s="237"/>
      <c r="J963" s="9"/>
    </row>
    <row r="964" spans="1:10" x14ac:dyDescent="0.35">
      <c r="A964" s="189"/>
      <c r="B964" s="542"/>
      <c r="C964" s="8"/>
      <c r="D964" s="8"/>
      <c r="E964" s="236"/>
      <c r="F964" s="226"/>
      <c r="G964" s="376"/>
      <c r="H964" s="226"/>
      <c r="I964" s="237"/>
      <c r="J964" s="9"/>
    </row>
    <row r="965" spans="1:10" x14ac:dyDescent="0.35">
      <c r="A965" s="189"/>
      <c r="B965" s="542"/>
      <c r="C965" s="8"/>
      <c r="D965" s="8"/>
      <c r="E965" s="236"/>
      <c r="F965" s="226"/>
      <c r="G965" s="376"/>
      <c r="H965" s="226"/>
      <c r="I965" s="237"/>
      <c r="J965" s="9"/>
    </row>
    <row r="966" spans="1:10" x14ac:dyDescent="0.35">
      <c r="A966" s="189"/>
      <c r="B966" s="542"/>
      <c r="C966" s="8"/>
      <c r="D966" s="8"/>
      <c r="E966" s="236"/>
      <c r="F966" s="226"/>
      <c r="G966" s="376"/>
      <c r="H966" s="226"/>
      <c r="I966" s="237"/>
      <c r="J966" s="9"/>
    </row>
    <row r="967" spans="1:10" x14ac:dyDescent="0.35">
      <c r="A967" s="189"/>
      <c r="B967" s="542"/>
      <c r="C967" s="8"/>
      <c r="D967" s="8"/>
      <c r="E967" s="236"/>
      <c r="F967" s="226"/>
      <c r="G967" s="376"/>
      <c r="H967" s="226"/>
      <c r="I967" s="237"/>
      <c r="J967" s="9"/>
    </row>
    <row r="968" spans="1:10" x14ac:dyDescent="0.35">
      <c r="A968" s="189"/>
      <c r="B968" s="542"/>
      <c r="C968" s="8"/>
      <c r="D968" s="8"/>
      <c r="E968" s="236"/>
      <c r="F968" s="226"/>
      <c r="G968" s="376"/>
      <c r="H968" s="226"/>
      <c r="I968" s="237"/>
      <c r="J968" s="9"/>
    </row>
    <row r="969" spans="1:10" x14ac:dyDescent="0.35">
      <c r="A969" s="189"/>
      <c r="B969" s="542"/>
      <c r="C969" s="8"/>
      <c r="D969" s="8"/>
      <c r="E969" s="236"/>
      <c r="F969" s="226"/>
      <c r="G969" s="376"/>
      <c r="H969" s="226"/>
      <c r="I969" s="237"/>
      <c r="J969" s="9"/>
    </row>
    <row r="970" spans="1:10" x14ac:dyDescent="0.35">
      <c r="A970" s="189"/>
      <c r="B970" s="542"/>
      <c r="C970" s="8"/>
      <c r="D970" s="8"/>
      <c r="E970" s="236"/>
      <c r="F970" s="226"/>
      <c r="G970" s="376"/>
      <c r="H970" s="226"/>
      <c r="I970" s="237"/>
      <c r="J970" s="9"/>
    </row>
    <row r="971" spans="1:10" x14ac:dyDescent="0.35">
      <c r="A971" s="189"/>
      <c r="B971" s="542"/>
      <c r="C971" s="8"/>
      <c r="D971" s="8"/>
      <c r="E971" s="236"/>
      <c r="F971" s="226"/>
      <c r="G971" s="376"/>
      <c r="H971" s="226"/>
      <c r="I971" s="237"/>
      <c r="J971" s="9"/>
    </row>
    <row r="972" spans="1:10" x14ac:dyDescent="0.35">
      <c r="A972" s="189"/>
      <c r="B972" s="542"/>
      <c r="C972" s="8"/>
      <c r="D972" s="8"/>
      <c r="E972" s="236"/>
      <c r="F972" s="226"/>
      <c r="G972" s="376"/>
      <c r="H972" s="226"/>
      <c r="I972" s="237"/>
      <c r="J972" s="9"/>
    </row>
    <row r="973" spans="1:10" x14ac:dyDescent="0.35">
      <c r="A973" s="189"/>
      <c r="B973" s="542"/>
      <c r="C973" s="8"/>
      <c r="D973" s="8"/>
      <c r="E973" s="236"/>
      <c r="F973" s="226"/>
      <c r="G973" s="376"/>
      <c r="H973" s="226"/>
      <c r="I973" s="237"/>
      <c r="J973" s="9"/>
    </row>
    <row r="974" spans="1:10" x14ac:dyDescent="0.35">
      <c r="A974" s="189"/>
      <c r="B974" s="542"/>
      <c r="C974" s="8"/>
      <c r="D974" s="8"/>
      <c r="E974" s="236"/>
      <c r="F974" s="226"/>
      <c r="G974" s="376"/>
      <c r="H974" s="226"/>
      <c r="I974" s="237"/>
      <c r="J974" s="9"/>
    </row>
    <row r="975" spans="1:10" x14ac:dyDescent="0.35">
      <c r="A975" s="189"/>
      <c r="B975" s="542"/>
      <c r="C975" s="8"/>
      <c r="D975" s="8"/>
      <c r="E975" s="236"/>
      <c r="F975" s="226"/>
      <c r="G975" s="376"/>
      <c r="H975" s="226"/>
      <c r="I975" s="237"/>
      <c r="J975" s="9"/>
    </row>
    <row r="976" spans="1:10" x14ac:dyDescent="0.35">
      <c r="A976" s="189"/>
      <c r="B976" s="542"/>
      <c r="C976" s="8"/>
      <c r="D976" s="8"/>
      <c r="E976" s="236"/>
      <c r="F976" s="226"/>
      <c r="G976" s="376"/>
      <c r="H976" s="226"/>
      <c r="I976" s="237"/>
      <c r="J976" s="9"/>
    </row>
    <row r="977" spans="1:10" x14ac:dyDescent="0.35">
      <c r="A977" s="225"/>
      <c r="B977" s="545"/>
      <c r="C977" s="8"/>
      <c r="D977" s="8"/>
      <c r="E977" s="241"/>
      <c r="F977" s="227"/>
      <c r="G977" s="378"/>
      <c r="H977" s="227"/>
      <c r="I977" s="242"/>
      <c r="J977" s="9"/>
    </row>
    <row r="978" spans="1:10" x14ac:dyDescent="0.35">
      <c r="A978" s="189"/>
      <c r="B978" s="541"/>
      <c r="C978" s="8"/>
      <c r="D978" s="8"/>
      <c r="E978" s="236"/>
      <c r="F978" s="226"/>
      <c r="G978" s="376"/>
      <c r="H978" s="226"/>
      <c r="I978" s="237"/>
      <c r="J978" s="9"/>
    </row>
    <row r="979" spans="1:10" x14ac:dyDescent="0.35">
      <c r="A979" s="189"/>
      <c r="B979" s="542"/>
      <c r="C979" s="8"/>
      <c r="D979" s="8"/>
      <c r="E979" s="236"/>
      <c r="F979" s="226"/>
      <c r="G979" s="376"/>
      <c r="H979" s="226"/>
      <c r="I979" s="237"/>
      <c r="J979" s="9"/>
    </row>
    <row r="980" spans="1:10" x14ac:dyDescent="0.35">
      <c r="A980" s="189"/>
      <c r="B980" s="542"/>
      <c r="C980" s="8"/>
      <c r="D980" s="8"/>
      <c r="E980" s="236"/>
      <c r="F980" s="226"/>
      <c r="G980" s="376"/>
      <c r="H980" s="226"/>
      <c r="I980" s="237"/>
      <c r="J980" s="9"/>
    </row>
    <row r="981" spans="1:10" x14ac:dyDescent="0.35">
      <c r="A981" s="189"/>
      <c r="B981" s="542"/>
      <c r="C981" s="8"/>
      <c r="D981" s="8"/>
      <c r="E981" s="236"/>
      <c r="F981" s="226"/>
      <c r="G981" s="376"/>
      <c r="H981" s="226"/>
      <c r="I981" s="237"/>
      <c r="J981" s="9"/>
    </row>
    <row r="982" spans="1:10" x14ac:dyDescent="0.35">
      <c r="A982" s="189"/>
      <c r="B982" s="542"/>
      <c r="C982" s="8"/>
      <c r="D982" s="8"/>
      <c r="E982" s="236"/>
      <c r="F982" s="226"/>
      <c r="G982" s="376"/>
      <c r="H982" s="226"/>
      <c r="I982" s="237"/>
      <c r="J982" s="9"/>
    </row>
    <row r="983" spans="1:10" x14ac:dyDescent="0.35">
      <c r="A983" s="189"/>
      <c r="B983" s="542"/>
      <c r="C983" s="8"/>
      <c r="D983" s="8"/>
      <c r="E983" s="236"/>
      <c r="F983" s="226"/>
      <c r="G983" s="376"/>
      <c r="H983" s="226"/>
      <c r="I983" s="237"/>
      <c r="J983" s="9"/>
    </row>
    <row r="984" spans="1:10" x14ac:dyDescent="0.35">
      <c r="A984" s="189"/>
      <c r="B984" s="542"/>
      <c r="C984" s="8"/>
      <c r="D984" s="8"/>
      <c r="E984" s="236"/>
      <c r="F984" s="226"/>
      <c r="G984" s="376"/>
      <c r="H984" s="226"/>
      <c r="I984" s="237"/>
      <c r="J984" s="9"/>
    </row>
    <row r="985" spans="1:10" x14ac:dyDescent="0.35">
      <c r="A985" s="189"/>
      <c r="B985" s="542"/>
      <c r="C985" s="8"/>
      <c r="D985" s="8"/>
      <c r="E985" s="236"/>
      <c r="F985" s="226"/>
      <c r="G985" s="376"/>
      <c r="H985" s="226"/>
      <c r="I985" s="237"/>
      <c r="J985" s="9"/>
    </row>
    <row r="986" spans="1:10" x14ac:dyDescent="0.35">
      <c r="A986" s="189"/>
      <c r="B986" s="542"/>
      <c r="C986" s="8"/>
      <c r="D986" s="8"/>
      <c r="E986" s="236"/>
      <c r="F986" s="226"/>
      <c r="G986" s="376"/>
      <c r="H986" s="226"/>
      <c r="I986" s="237"/>
      <c r="J986" s="9"/>
    </row>
    <row r="987" spans="1:10" x14ac:dyDescent="0.35">
      <c r="A987" s="189"/>
      <c r="B987" s="542"/>
      <c r="C987" s="8"/>
      <c r="D987" s="8"/>
      <c r="E987" s="236"/>
      <c r="F987" s="226"/>
      <c r="G987" s="376"/>
      <c r="H987" s="226"/>
      <c r="I987" s="237"/>
      <c r="J987" s="9"/>
    </row>
    <row r="988" spans="1:10" x14ac:dyDescent="0.35">
      <c r="A988" s="189"/>
      <c r="B988" s="542"/>
      <c r="C988" s="8"/>
      <c r="D988" s="8"/>
      <c r="E988" s="236"/>
      <c r="F988" s="226"/>
      <c r="G988" s="376"/>
      <c r="H988" s="226"/>
      <c r="I988" s="237"/>
      <c r="J988" s="9"/>
    </row>
    <row r="989" spans="1:10" x14ac:dyDescent="0.35">
      <c r="A989" s="189"/>
      <c r="B989" s="542"/>
      <c r="C989" s="8"/>
      <c r="D989" s="8"/>
      <c r="E989" s="236"/>
      <c r="F989" s="226"/>
      <c r="G989" s="376"/>
      <c r="H989" s="226"/>
      <c r="I989" s="237"/>
      <c r="J989" s="9"/>
    </row>
    <row r="990" spans="1:10" x14ac:dyDescent="0.35">
      <c r="A990" s="189"/>
      <c r="B990" s="542"/>
      <c r="C990" s="8"/>
      <c r="D990" s="8"/>
      <c r="E990" s="236"/>
      <c r="F990" s="226"/>
      <c r="G990" s="376"/>
      <c r="H990" s="226"/>
      <c r="I990" s="237"/>
      <c r="J990" s="9"/>
    </row>
    <row r="991" spans="1:10" x14ac:dyDescent="0.35">
      <c r="A991" s="189"/>
      <c r="B991" s="542"/>
      <c r="C991" s="8"/>
      <c r="D991" s="8"/>
      <c r="E991" s="236"/>
      <c r="F991" s="226"/>
      <c r="G991" s="376"/>
      <c r="H991" s="226"/>
      <c r="I991" s="237"/>
      <c r="J991" s="9"/>
    </row>
    <row r="992" spans="1:10" x14ac:dyDescent="0.35">
      <c r="A992" s="189"/>
      <c r="B992" s="542"/>
      <c r="C992" s="8"/>
      <c r="D992" s="8"/>
      <c r="E992" s="236"/>
      <c r="F992" s="226"/>
      <c r="G992" s="376"/>
      <c r="H992" s="226"/>
      <c r="I992" s="237"/>
      <c r="J992" s="9"/>
    </row>
    <row r="993" spans="1:10" x14ac:dyDescent="0.35">
      <c r="A993" s="189"/>
      <c r="B993" s="542"/>
      <c r="C993" s="8"/>
      <c r="D993" s="8"/>
      <c r="E993" s="236"/>
      <c r="F993" s="226"/>
      <c r="G993" s="376"/>
      <c r="H993" s="226"/>
      <c r="I993" s="237"/>
      <c r="J993" s="9"/>
    </row>
    <row r="994" spans="1:10" x14ac:dyDescent="0.35">
      <c r="A994" s="225"/>
      <c r="B994" s="545"/>
      <c r="C994" s="8"/>
      <c r="D994" s="8"/>
      <c r="E994" s="241"/>
      <c r="F994" s="227"/>
      <c r="G994" s="378"/>
      <c r="H994" s="227"/>
      <c r="I994" s="242"/>
      <c r="J994" s="9"/>
    </row>
    <row r="995" spans="1:10" x14ac:dyDescent="0.35">
      <c r="A995" s="189"/>
      <c r="B995" s="541"/>
      <c r="C995" s="8"/>
      <c r="D995" s="8"/>
      <c r="E995" s="236"/>
      <c r="F995" s="226"/>
      <c r="G995" s="376"/>
      <c r="H995" s="226"/>
      <c r="I995" s="237"/>
      <c r="J995" s="9"/>
    </row>
    <row r="996" spans="1:10" x14ac:dyDescent="0.35">
      <c r="A996" s="189"/>
      <c r="B996" s="542"/>
      <c r="C996" s="8"/>
      <c r="D996" s="8"/>
      <c r="E996" s="236"/>
      <c r="F996" s="226"/>
      <c r="G996" s="376"/>
      <c r="H996" s="226"/>
      <c r="I996" s="237"/>
      <c r="J996" s="9"/>
    </row>
    <row r="997" spans="1:10" x14ac:dyDescent="0.35">
      <c r="A997" s="189"/>
      <c r="B997" s="542"/>
      <c r="C997" s="8"/>
      <c r="D997" s="8"/>
      <c r="E997" s="236"/>
      <c r="F997" s="226"/>
      <c r="G997" s="376"/>
      <c r="H997" s="226"/>
      <c r="I997" s="237"/>
      <c r="J997" s="9"/>
    </row>
    <row r="998" spans="1:10" x14ac:dyDescent="0.35">
      <c r="A998" s="189"/>
      <c r="B998" s="542"/>
      <c r="C998" s="8"/>
      <c r="D998" s="8"/>
      <c r="E998" s="236"/>
      <c r="F998" s="226"/>
      <c r="G998" s="376"/>
      <c r="H998" s="226"/>
      <c r="I998" s="237"/>
      <c r="J998" s="9"/>
    </row>
    <row r="999" spans="1:10" x14ac:dyDescent="0.35">
      <c r="A999" s="189"/>
      <c r="B999" s="542"/>
      <c r="C999" s="8"/>
      <c r="D999" s="8"/>
      <c r="E999" s="236"/>
      <c r="F999" s="226"/>
      <c r="G999" s="376"/>
      <c r="H999" s="226"/>
      <c r="I999" s="237"/>
      <c r="J999" s="9"/>
    </row>
    <row r="1000" spans="1:10" x14ac:dyDescent="0.35">
      <c r="A1000" s="189"/>
      <c r="B1000" s="542"/>
      <c r="C1000" s="8"/>
      <c r="D1000" s="8"/>
      <c r="E1000" s="236"/>
      <c r="F1000" s="226"/>
      <c r="G1000" s="376"/>
      <c r="H1000" s="226"/>
      <c r="I1000" s="237"/>
      <c r="J1000" s="9"/>
    </row>
    <row r="1001" spans="1:10" x14ac:dyDescent="0.35">
      <c r="A1001" s="189"/>
      <c r="B1001" s="542"/>
      <c r="C1001" s="8"/>
      <c r="D1001" s="8"/>
      <c r="E1001" s="236"/>
      <c r="F1001" s="226"/>
      <c r="G1001" s="376"/>
      <c r="H1001" s="226"/>
      <c r="I1001" s="237"/>
      <c r="J1001" s="9"/>
    </row>
    <row r="1002" spans="1:10" x14ac:dyDescent="0.35">
      <c r="A1002" s="189"/>
      <c r="B1002" s="542"/>
      <c r="C1002" s="8"/>
      <c r="D1002" s="8"/>
      <c r="E1002" s="236"/>
      <c r="F1002" s="226"/>
      <c r="G1002" s="376"/>
      <c r="H1002" s="226"/>
      <c r="I1002" s="237"/>
      <c r="J1002" s="9"/>
    </row>
    <row r="1003" spans="1:10" x14ac:dyDescent="0.35">
      <c r="A1003" s="189"/>
      <c r="B1003" s="542"/>
      <c r="C1003" s="8"/>
      <c r="D1003" s="8"/>
      <c r="E1003" s="236"/>
      <c r="F1003" s="226"/>
      <c r="G1003" s="376"/>
      <c r="H1003" s="226"/>
      <c r="I1003" s="237"/>
      <c r="J1003" s="9"/>
    </row>
    <row r="1004" spans="1:10" x14ac:dyDescent="0.35">
      <c r="A1004" s="189"/>
      <c r="B1004" s="542"/>
      <c r="C1004" s="8"/>
      <c r="D1004" s="8"/>
      <c r="E1004" s="236"/>
      <c r="F1004" s="226"/>
      <c r="G1004" s="376"/>
      <c r="H1004" s="226"/>
      <c r="I1004" s="237"/>
      <c r="J1004" s="9"/>
    </row>
    <row r="1005" spans="1:10" x14ac:dyDescent="0.35">
      <c r="A1005" s="189"/>
      <c r="B1005" s="542"/>
      <c r="C1005" s="8"/>
      <c r="D1005" s="8"/>
      <c r="E1005" s="236"/>
      <c r="F1005" s="226"/>
      <c r="G1005" s="376"/>
      <c r="H1005" s="226"/>
      <c r="I1005" s="237"/>
      <c r="J1005" s="9"/>
    </row>
    <row r="1006" spans="1:10" x14ac:dyDescent="0.35">
      <c r="A1006" s="189"/>
      <c r="B1006" s="542"/>
      <c r="C1006" s="8"/>
      <c r="D1006" s="8"/>
      <c r="E1006" s="236"/>
      <c r="F1006" s="226"/>
      <c r="G1006" s="376"/>
      <c r="H1006" s="226"/>
      <c r="I1006" s="237"/>
      <c r="J1006" s="9"/>
    </row>
    <row r="1007" spans="1:10" x14ac:dyDescent="0.35">
      <c r="A1007" s="189"/>
      <c r="B1007" s="542"/>
      <c r="C1007" s="8"/>
      <c r="D1007" s="8"/>
      <c r="E1007" s="236"/>
      <c r="F1007" s="226"/>
      <c r="G1007" s="376"/>
      <c r="H1007" s="226"/>
      <c r="I1007" s="237"/>
      <c r="J1007" s="9"/>
    </row>
    <row r="1008" spans="1:10" x14ac:dyDescent="0.35">
      <c r="A1008" s="189"/>
      <c r="B1008" s="542"/>
      <c r="C1008" s="8"/>
      <c r="D1008" s="8"/>
      <c r="E1008" s="236"/>
      <c r="F1008" s="226"/>
      <c r="G1008" s="376"/>
      <c r="H1008" s="226"/>
      <c r="I1008" s="237"/>
      <c r="J1008" s="9"/>
    </row>
    <row r="1009" spans="1:10" x14ac:dyDescent="0.35">
      <c r="A1009" s="189"/>
      <c r="B1009" s="542"/>
      <c r="C1009" s="8"/>
      <c r="D1009" s="8"/>
      <c r="E1009" s="236"/>
      <c r="F1009" s="226"/>
      <c r="G1009" s="376"/>
      <c r="H1009" s="226"/>
      <c r="I1009" s="237"/>
      <c r="J1009" s="9"/>
    </row>
    <row r="1010" spans="1:10" x14ac:dyDescent="0.35">
      <c r="A1010" s="189"/>
      <c r="B1010" s="542"/>
      <c r="C1010" s="8"/>
      <c r="D1010" s="8"/>
      <c r="E1010" s="236"/>
      <c r="F1010" s="226"/>
      <c r="G1010" s="376"/>
      <c r="H1010" s="226"/>
      <c r="I1010" s="237"/>
      <c r="J1010" s="9"/>
    </row>
    <row r="1011" spans="1:10" x14ac:dyDescent="0.35">
      <c r="A1011" s="225"/>
      <c r="B1011" s="545"/>
      <c r="C1011" s="8"/>
      <c r="D1011" s="8"/>
      <c r="E1011" s="241"/>
      <c r="F1011" s="227"/>
      <c r="G1011" s="378"/>
      <c r="H1011" s="227"/>
      <c r="I1011" s="242"/>
      <c r="J1011" s="9"/>
    </row>
    <row r="1012" spans="1:10" x14ac:dyDescent="0.35">
      <c r="A1012" s="189"/>
      <c r="B1012" s="541"/>
      <c r="C1012" s="8"/>
      <c r="D1012" s="8"/>
      <c r="E1012" s="236"/>
      <c r="F1012" s="226"/>
      <c r="G1012" s="376"/>
      <c r="H1012" s="226"/>
      <c r="I1012" s="237"/>
      <c r="J1012" s="9"/>
    </row>
    <row r="1013" spans="1:10" x14ac:dyDescent="0.35">
      <c r="A1013" s="189"/>
      <c r="B1013" s="542"/>
      <c r="C1013" s="8"/>
      <c r="D1013" s="8"/>
      <c r="E1013" s="236"/>
      <c r="F1013" s="226"/>
      <c r="G1013" s="376"/>
      <c r="H1013" s="226"/>
      <c r="I1013" s="237"/>
      <c r="J1013" s="9"/>
    </row>
    <row r="1014" spans="1:10" x14ac:dyDescent="0.35">
      <c r="A1014" s="189"/>
      <c r="B1014" s="542"/>
      <c r="C1014" s="8"/>
      <c r="D1014" s="8"/>
      <c r="E1014" s="236"/>
      <c r="F1014" s="226"/>
      <c r="G1014" s="376"/>
      <c r="H1014" s="226"/>
      <c r="I1014" s="237"/>
      <c r="J1014" s="9"/>
    </row>
    <row r="1015" spans="1:10" x14ac:dyDescent="0.35">
      <c r="A1015" s="189"/>
      <c r="B1015" s="542"/>
      <c r="C1015" s="8"/>
      <c r="D1015" s="8"/>
      <c r="E1015" s="236"/>
      <c r="F1015" s="226"/>
      <c r="G1015" s="376"/>
      <c r="H1015" s="226"/>
      <c r="I1015" s="237"/>
      <c r="J1015" s="9"/>
    </row>
    <row r="1016" spans="1:10" x14ac:dyDescent="0.35">
      <c r="A1016" s="189"/>
      <c r="B1016" s="542"/>
      <c r="C1016" s="8"/>
      <c r="D1016" s="8"/>
      <c r="E1016" s="236"/>
      <c r="F1016" s="226"/>
      <c r="G1016" s="376"/>
      <c r="H1016" s="226"/>
      <c r="I1016" s="237"/>
      <c r="J1016" s="9"/>
    </row>
    <row r="1017" spans="1:10" x14ac:dyDescent="0.35">
      <c r="A1017" s="189"/>
      <c r="B1017" s="542"/>
      <c r="C1017" s="8"/>
      <c r="D1017" s="8"/>
      <c r="E1017" s="236"/>
      <c r="F1017" s="226"/>
      <c r="G1017" s="376"/>
      <c r="H1017" s="226"/>
      <c r="I1017" s="237"/>
      <c r="J1017" s="9"/>
    </row>
    <row r="1018" spans="1:10" x14ac:dyDescent="0.35">
      <c r="A1018" s="189"/>
      <c r="B1018" s="542"/>
      <c r="C1018" s="8"/>
      <c r="D1018" s="8"/>
      <c r="E1018" s="236"/>
      <c r="F1018" s="226"/>
      <c r="G1018" s="376"/>
      <c r="H1018" s="226"/>
      <c r="I1018" s="237"/>
      <c r="J1018" s="9"/>
    </row>
    <row r="1019" spans="1:10" x14ac:dyDescent="0.35">
      <c r="A1019" s="189"/>
      <c r="B1019" s="542"/>
      <c r="C1019" s="8"/>
      <c r="D1019" s="8"/>
      <c r="E1019" s="236"/>
      <c r="F1019" s="226"/>
      <c r="G1019" s="376"/>
      <c r="H1019" s="226"/>
      <c r="I1019" s="237"/>
      <c r="J1019" s="9"/>
    </row>
    <row r="1020" spans="1:10" x14ac:dyDescent="0.35">
      <c r="A1020" s="189"/>
      <c r="B1020" s="542"/>
      <c r="C1020" s="8"/>
      <c r="D1020" s="8"/>
      <c r="E1020" s="236"/>
      <c r="F1020" s="226"/>
      <c r="G1020" s="376"/>
      <c r="H1020" s="226"/>
      <c r="I1020" s="237"/>
      <c r="J1020" s="9"/>
    </row>
    <row r="1021" spans="1:10" x14ac:dyDescent="0.35">
      <c r="A1021" s="189"/>
      <c r="B1021" s="542"/>
      <c r="C1021" s="8"/>
      <c r="D1021" s="8"/>
      <c r="E1021" s="236"/>
      <c r="F1021" s="226"/>
      <c r="G1021" s="376"/>
      <c r="H1021" s="226"/>
      <c r="I1021" s="237"/>
      <c r="J1021" s="9"/>
    </row>
    <row r="1022" spans="1:10" x14ac:dyDescent="0.35">
      <c r="A1022" s="189"/>
      <c r="B1022" s="542"/>
      <c r="C1022" s="8"/>
      <c r="D1022" s="8"/>
      <c r="E1022" s="236"/>
      <c r="F1022" s="226"/>
      <c r="G1022" s="376"/>
      <c r="H1022" s="226"/>
      <c r="I1022" s="237"/>
      <c r="J1022" s="9"/>
    </row>
    <row r="1023" spans="1:10" x14ac:dyDescent="0.35">
      <c r="A1023" s="189"/>
      <c r="B1023" s="542"/>
      <c r="C1023" s="8"/>
      <c r="D1023" s="8"/>
      <c r="E1023" s="236"/>
      <c r="F1023" s="226"/>
      <c r="G1023" s="376"/>
      <c r="H1023" s="226"/>
      <c r="I1023" s="237"/>
      <c r="J1023" s="9"/>
    </row>
    <row r="1024" spans="1:10" x14ac:dyDescent="0.35">
      <c r="A1024" s="189"/>
      <c r="B1024" s="542"/>
      <c r="C1024" s="8"/>
      <c r="D1024" s="8"/>
      <c r="E1024" s="236"/>
      <c r="F1024" s="226"/>
      <c r="G1024" s="376"/>
      <c r="H1024" s="226"/>
      <c r="I1024" s="237"/>
      <c r="J1024" s="9"/>
    </row>
    <row r="1025" spans="1:10" x14ac:dyDescent="0.35">
      <c r="A1025" s="189"/>
      <c r="B1025" s="542"/>
      <c r="C1025" s="8"/>
      <c r="D1025" s="8"/>
      <c r="E1025" s="236"/>
      <c r="F1025" s="226"/>
      <c r="G1025" s="376"/>
      <c r="H1025" s="226"/>
      <c r="I1025" s="237"/>
      <c r="J1025" s="9"/>
    </row>
    <row r="1026" spans="1:10" x14ac:dyDescent="0.35">
      <c r="A1026" s="189"/>
      <c r="B1026" s="542"/>
      <c r="C1026" s="8"/>
      <c r="D1026" s="8"/>
      <c r="E1026" s="236"/>
      <c r="F1026" s="226"/>
      <c r="G1026" s="376"/>
      <c r="H1026" s="226"/>
      <c r="I1026" s="237"/>
      <c r="J1026" s="9"/>
    </row>
    <row r="1027" spans="1:10" x14ac:dyDescent="0.35">
      <c r="A1027" s="189"/>
      <c r="B1027" s="542"/>
      <c r="C1027" s="8"/>
      <c r="D1027" s="8"/>
      <c r="E1027" s="236"/>
      <c r="F1027" s="226"/>
      <c r="G1027" s="376"/>
      <c r="H1027" s="226"/>
      <c r="I1027" s="237"/>
      <c r="J1027" s="9"/>
    </row>
    <row r="1028" spans="1:10" x14ac:dyDescent="0.35">
      <c r="A1028" s="225"/>
      <c r="B1028" s="545"/>
      <c r="C1028" s="8"/>
      <c r="D1028" s="8"/>
      <c r="E1028" s="241"/>
      <c r="F1028" s="227"/>
      <c r="G1028" s="378"/>
      <c r="H1028" s="227"/>
      <c r="I1028" s="242"/>
      <c r="J1028" s="9"/>
    </row>
    <row r="1029" spans="1:10" x14ac:dyDescent="0.35">
      <c r="A1029" s="189"/>
      <c r="B1029" s="541"/>
      <c r="C1029" s="8"/>
      <c r="D1029" s="8"/>
      <c r="E1029" s="236"/>
      <c r="F1029" s="226"/>
      <c r="G1029" s="376"/>
      <c r="H1029" s="226"/>
      <c r="I1029" s="237"/>
      <c r="J1029" s="9"/>
    </row>
    <row r="1030" spans="1:10" x14ac:dyDescent="0.35">
      <c r="A1030" s="189"/>
      <c r="B1030" s="542"/>
      <c r="C1030" s="8"/>
      <c r="D1030" s="8"/>
      <c r="E1030" s="236"/>
      <c r="F1030" s="226"/>
      <c r="G1030" s="376"/>
      <c r="H1030" s="226"/>
      <c r="I1030" s="237"/>
      <c r="J1030" s="9"/>
    </row>
    <row r="1031" spans="1:10" x14ac:dyDescent="0.35">
      <c r="A1031" s="189"/>
      <c r="B1031" s="542"/>
      <c r="C1031" s="8"/>
      <c r="D1031" s="8"/>
      <c r="E1031" s="236"/>
      <c r="F1031" s="226"/>
      <c r="G1031" s="376"/>
      <c r="H1031" s="226"/>
      <c r="I1031" s="237"/>
      <c r="J1031" s="9"/>
    </row>
    <row r="1032" spans="1:10" x14ac:dyDescent="0.35">
      <c r="A1032" s="189"/>
      <c r="B1032" s="542"/>
      <c r="C1032" s="8"/>
      <c r="D1032" s="8"/>
      <c r="E1032" s="236"/>
      <c r="F1032" s="226"/>
      <c r="G1032" s="376"/>
      <c r="H1032" s="226"/>
      <c r="I1032" s="237"/>
      <c r="J1032" s="9"/>
    </row>
    <row r="1033" spans="1:10" x14ac:dyDescent="0.35">
      <c r="A1033" s="189"/>
      <c r="B1033" s="542"/>
      <c r="C1033" s="8"/>
      <c r="D1033" s="8"/>
      <c r="E1033" s="236"/>
      <c r="F1033" s="226"/>
      <c r="G1033" s="376"/>
      <c r="H1033" s="226"/>
      <c r="I1033" s="237"/>
      <c r="J1033" s="9"/>
    </row>
    <row r="1034" spans="1:10" x14ac:dyDescent="0.35">
      <c r="A1034" s="189"/>
      <c r="B1034" s="542"/>
      <c r="C1034" s="8"/>
      <c r="D1034" s="8"/>
      <c r="E1034" s="236"/>
      <c r="F1034" s="226"/>
      <c r="G1034" s="376"/>
      <c r="H1034" s="226"/>
      <c r="I1034" s="237"/>
      <c r="J1034" s="9"/>
    </row>
    <row r="1035" spans="1:10" x14ac:dyDescent="0.35">
      <c r="A1035" s="189"/>
      <c r="B1035" s="542"/>
      <c r="C1035" s="8"/>
      <c r="D1035" s="8"/>
      <c r="E1035" s="236"/>
      <c r="F1035" s="226"/>
      <c r="G1035" s="376"/>
      <c r="H1035" s="226"/>
      <c r="I1035" s="237"/>
      <c r="J1035" s="9"/>
    </row>
    <row r="1036" spans="1:10" x14ac:dyDescent="0.35">
      <c r="A1036" s="189"/>
      <c r="B1036" s="542"/>
      <c r="C1036" s="8"/>
      <c r="D1036" s="8"/>
      <c r="E1036" s="236"/>
      <c r="F1036" s="226"/>
      <c r="G1036" s="376"/>
      <c r="H1036" s="226"/>
      <c r="I1036" s="237"/>
      <c r="J1036" s="9"/>
    </row>
    <row r="1037" spans="1:10" x14ac:dyDescent="0.35">
      <c r="A1037" s="189"/>
      <c r="B1037" s="542"/>
      <c r="C1037" s="8"/>
      <c r="D1037" s="8"/>
      <c r="E1037" s="236"/>
      <c r="F1037" s="226"/>
      <c r="G1037" s="376"/>
      <c r="H1037" s="226"/>
      <c r="I1037" s="237"/>
      <c r="J1037" s="9"/>
    </row>
    <row r="1038" spans="1:10" x14ac:dyDescent="0.35">
      <c r="A1038" s="189"/>
      <c r="B1038" s="542"/>
      <c r="C1038" s="8"/>
      <c r="D1038" s="8"/>
      <c r="E1038" s="236"/>
      <c r="F1038" s="226"/>
      <c r="G1038" s="376"/>
      <c r="H1038" s="226"/>
      <c r="I1038" s="237"/>
      <c r="J1038" s="9"/>
    </row>
    <row r="1039" spans="1:10" x14ac:dyDescent="0.35">
      <c r="A1039" s="189"/>
      <c r="B1039" s="542"/>
      <c r="C1039" s="8"/>
      <c r="D1039" s="8"/>
      <c r="E1039" s="236"/>
      <c r="F1039" s="226"/>
      <c r="G1039" s="376"/>
      <c r="H1039" s="226"/>
      <c r="I1039" s="237"/>
      <c r="J1039" s="9"/>
    </row>
    <row r="1040" spans="1:10" x14ac:dyDescent="0.35">
      <c r="A1040" s="189"/>
      <c r="B1040" s="542"/>
      <c r="C1040" s="8"/>
      <c r="D1040" s="8"/>
      <c r="E1040" s="236"/>
      <c r="F1040" s="226"/>
      <c r="G1040" s="376"/>
      <c r="H1040" s="226"/>
      <c r="I1040" s="237"/>
      <c r="J1040" s="9"/>
    </row>
    <row r="1041" spans="1:10" x14ac:dyDescent="0.35">
      <c r="A1041" s="189"/>
      <c r="B1041" s="542"/>
      <c r="C1041" s="8"/>
      <c r="D1041" s="8"/>
      <c r="E1041" s="236"/>
      <c r="F1041" s="226"/>
      <c r="G1041" s="376"/>
      <c r="H1041" s="226"/>
      <c r="I1041" s="237"/>
      <c r="J1041" s="9"/>
    </row>
    <row r="1042" spans="1:10" x14ac:dyDescent="0.35">
      <c r="A1042" s="189"/>
      <c r="B1042" s="542"/>
      <c r="C1042" s="8"/>
      <c r="D1042" s="8"/>
      <c r="E1042" s="236"/>
      <c r="F1042" s="226"/>
      <c r="G1042" s="376"/>
      <c r="H1042" s="226"/>
      <c r="I1042" s="237"/>
      <c r="J1042" s="9"/>
    </row>
    <row r="1043" spans="1:10" x14ac:dyDescent="0.35">
      <c r="A1043" s="189"/>
      <c r="B1043" s="542"/>
      <c r="C1043" s="8"/>
      <c r="D1043" s="8"/>
      <c r="E1043" s="236"/>
      <c r="F1043" s="226"/>
      <c r="G1043" s="376"/>
      <c r="H1043" s="226"/>
      <c r="I1043" s="237"/>
      <c r="J1043" s="9"/>
    </row>
    <row r="1044" spans="1:10" x14ac:dyDescent="0.35">
      <c r="A1044" s="189"/>
      <c r="B1044" s="542"/>
      <c r="C1044" s="8"/>
      <c r="D1044" s="8"/>
      <c r="E1044" s="236"/>
      <c r="F1044" s="226"/>
      <c r="G1044" s="376"/>
      <c r="H1044" s="226"/>
      <c r="I1044" s="237"/>
      <c r="J1044" s="9"/>
    </row>
    <row r="1045" spans="1:10" x14ac:dyDescent="0.35">
      <c r="A1045" s="225"/>
      <c r="B1045" s="545"/>
      <c r="C1045" s="8"/>
      <c r="D1045" s="8"/>
      <c r="E1045" s="241"/>
      <c r="F1045" s="227"/>
      <c r="G1045" s="378"/>
      <c r="H1045" s="227"/>
      <c r="I1045" s="242"/>
      <c r="J1045" s="9"/>
    </row>
    <row r="1046" spans="1:10" x14ac:dyDescent="0.35">
      <c r="A1046" s="189"/>
      <c r="B1046" s="541"/>
      <c r="C1046" s="8"/>
      <c r="D1046" s="8"/>
      <c r="E1046" s="236"/>
      <c r="F1046" s="226"/>
      <c r="G1046" s="376"/>
      <c r="H1046" s="226"/>
      <c r="I1046" s="237"/>
      <c r="J1046" s="9"/>
    </row>
    <row r="1047" spans="1:10" x14ac:dyDescent="0.35">
      <c r="A1047" s="189"/>
      <c r="B1047" s="542"/>
      <c r="C1047" s="8"/>
      <c r="D1047" s="8"/>
      <c r="E1047" s="236"/>
      <c r="F1047" s="226"/>
      <c r="G1047" s="376"/>
      <c r="H1047" s="226"/>
      <c r="I1047" s="237"/>
      <c r="J1047" s="9"/>
    </row>
    <row r="1048" spans="1:10" x14ac:dyDescent="0.35">
      <c r="A1048" s="189"/>
      <c r="B1048" s="542"/>
      <c r="C1048" s="8"/>
      <c r="D1048" s="8"/>
      <c r="E1048" s="236"/>
      <c r="F1048" s="226"/>
      <c r="G1048" s="376"/>
      <c r="H1048" s="226"/>
      <c r="I1048" s="237"/>
      <c r="J1048" s="9"/>
    </row>
    <row r="1049" spans="1:10" x14ac:dyDescent="0.35">
      <c r="A1049" s="189"/>
      <c r="B1049" s="542"/>
      <c r="C1049" s="8"/>
      <c r="D1049" s="8"/>
      <c r="E1049" s="236"/>
      <c r="F1049" s="226"/>
      <c r="G1049" s="376"/>
      <c r="H1049" s="226"/>
      <c r="I1049" s="237"/>
      <c r="J1049" s="9"/>
    </row>
    <row r="1050" spans="1:10" x14ac:dyDescent="0.35">
      <c r="A1050" s="189"/>
      <c r="B1050" s="542"/>
      <c r="C1050" s="8"/>
      <c r="D1050" s="8"/>
      <c r="E1050" s="236"/>
      <c r="F1050" s="226"/>
      <c r="G1050" s="376"/>
      <c r="H1050" s="226"/>
      <c r="I1050" s="237"/>
      <c r="J1050" s="9"/>
    </row>
    <row r="1051" spans="1:10" x14ac:dyDescent="0.35">
      <c r="A1051" s="189"/>
      <c r="B1051" s="542"/>
      <c r="C1051" s="8"/>
      <c r="D1051" s="8"/>
      <c r="E1051" s="236"/>
      <c r="F1051" s="226"/>
      <c r="G1051" s="376"/>
      <c r="H1051" s="226"/>
      <c r="I1051" s="237"/>
      <c r="J1051" s="9"/>
    </row>
    <row r="1052" spans="1:10" x14ac:dyDescent="0.35">
      <c r="A1052" s="189"/>
      <c r="B1052" s="542"/>
      <c r="C1052" s="8"/>
      <c r="D1052" s="8"/>
      <c r="E1052" s="236"/>
      <c r="F1052" s="226"/>
      <c r="G1052" s="376"/>
      <c r="H1052" s="226"/>
      <c r="I1052" s="237"/>
      <c r="J1052" s="9"/>
    </row>
    <row r="1053" spans="1:10" x14ac:dyDescent="0.35">
      <c r="A1053" s="189"/>
      <c r="B1053" s="542"/>
      <c r="C1053" s="8"/>
      <c r="D1053" s="8"/>
      <c r="E1053" s="236"/>
      <c r="F1053" s="226"/>
      <c r="G1053" s="376"/>
      <c r="H1053" s="226"/>
      <c r="I1053" s="237"/>
      <c r="J1053" s="9"/>
    </row>
    <row r="1054" spans="1:10" x14ac:dyDescent="0.35">
      <c r="A1054" s="189"/>
      <c r="B1054" s="542"/>
      <c r="C1054" s="8"/>
      <c r="D1054" s="8"/>
      <c r="E1054" s="236"/>
      <c r="F1054" s="226"/>
      <c r="G1054" s="376"/>
      <c r="H1054" s="226"/>
      <c r="I1054" s="237"/>
      <c r="J1054" s="9"/>
    </row>
    <row r="1055" spans="1:10" x14ac:dyDescent="0.35">
      <c r="A1055" s="189"/>
      <c r="B1055" s="542"/>
      <c r="C1055" s="8"/>
      <c r="D1055" s="8"/>
      <c r="E1055" s="236"/>
      <c r="F1055" s="226"/>
      <c r="G1055" s="376"/>
      <c r="H1055" s="226"/>
      <c r="I1055" s="237"/>
      <c r="J1055" s="9"/>
    </row>
    <row r="1056" spans="1:10" x14ac:dyDescent="0.35">
      <c r="A1056" s="189"/>
      <c r="B1056" s="542"/>
      <c r="C1056" s="8"/>
      <c r="D1056" s="8"/>
      <c r="E1056" s="236"/>
      <c r="F1056" s="226"/>
      <c r="G1056" s="376"/>
      <c r="H1056" s="226"/>
      <c r="I1056" s="237"/>
      <c r="J1056" s="9"/>
    </row>
    <row r="1057" spans="1:10" x14ac:dyDescent="0.35">
      <c r="A1057" s="189"/>
      <c r="B1057" s="542"/>
      <c r="C1057" s="8"/>
      <c r="D1057" s="8"/>
      <c r="E1057" s="236"/>
      <c r="F1057" s="226"/>
      <c r="G1057" s="376"/>
      <c r="H1057" s="226"/>
      <c r="I1057" s="237"/>
      <c r="J1057" s="9"/>
    </row>
    <row r="1058" spans="1:10" x14ac:dyDescent="0.35">
      <c r="A1058" s="189"/>
      <c r="B1058" s="542"/>
      <c r="C1058" s="8"/>
      <c r="D1058" s="8"/>
      <c r="E1058" s="236"/>
      <c r="F1058" s="226"/>
      <c r="G1058" s="376"/>
      <c r="H1058" s="226"/>
      <c r="I1058" s="237"/>
      <c r="J1058" s="9"/>
    </row>
    <row r="1059" spans="1:10" x14ac:dyDescent="0.35">
      <c r="A1059" s="189"/>
      <c r="B1059" s="542"/>
      <c r="C1059" s="8"/>
      <c r="D1059" s="8"/>
      <c r="E1059" s="236"/>
      <c r="F1059" s="226"/>
      <c r="G1059" s="376"/>
      <c r="H1059" s="226"/>
      <c r="I1059" s="237"/>
      <c r="J1059" s="9"/>
    </row>
    <row r="1060" spans="1:10" x14ac:dyDescent="0.35">
      <c r="A1060" s="189"/>
      <c r="B1060" s="542"/>
      <c r="C1060" s="8"/>
      <c r="D1060" s="8"/>
      <c r="E1060" s="236"/>
      <c r="F1060" s="226"/>
      <c r="G1060" s="376"/>
      <c r="H1060" s="226"/>
      <c r="I1060" s="237"/>
      <c r="J1060" s="9"/>
    </row>
    <row r="1061" spans="1:10" x14ac:dyDescent="0.35">
      <c r="A1061" s="189"/>
      <c r="B1061" s="542"/>
      <c r="C1061" s="8"/>
      <c r="D1061" s="8"/>
      <c r="E1061" s="236"/>
      <c r="F1061" s="226"/>
      <c r="G1061" s="376"/>
      <c r="H1061" s="226"/>
      <c r="I1061" s="237"/>
      <c r="J1061" s="9"/>
    </row>
    <row r="1062" spans="1:10" x14ac:dyDescent="0.35">
      <c r="A1062" s="225"/>
      <c r="B1062" s="545"/>
      <c r="C1062" s="8"/>
      <c r="D1062" s="8"/>
      <c r="E1062" s="241"/>
      <c r="F1062" s="227"/>
      <c r="G1062" s="378"/>
      <c r="H1062" s="227"/>
      <c r="I1062" s="242"/>
      <c r="J1062" s="9"/>
    </row>
    <row r="1063" spans="1:10" x14ac:dyDescent="0.35">
      <c r="A1063" s="189"/>
      <c r="B1063" s="541"/>
      <c r="C1063" s="8"/>
      <c r="D1063" s="8"/>
      <c r="E1063" s="236"/>
      <c r="F1063" s="226"/>
      <c r="G1063" s="376"/>
      <c r="H1063" s="226"/>
      <c r="I1063" s="237"/>
      <c r="J1063" s="9"/>
    </row>
    <row r="1064" spans="1:10" x14ac:dyDescent="0.35">
      <c r="A1064" s="189"/>
      <c r="B1064" s="542"/>
      <c r="C1064" s="8"/>
      <c r="D1064" s="8"/>
      <c r="E1064" s="236"/>
      <c r="F1064" s="226"/>
      <c r="G1064" s="376"/>
      <c r="H1064" s="226"/>
      <c r="I1064" s="237"/>
      <c r="J1064" s="9"/>
    </row>
    <row r="1065" spans="1:10" x14ac:dyDescent="0.35">
      <c r="A1065" s="189"/>
      <c r="B1065" s="542"/>
      <c r="C1065" s="8"/>
      <c r="D1065" s="8"/>
      <c r="E1065" s="236"/>
      <c r="F1065" s="226"/>
      <c r="G1065" s="376"/>
      <c r="H1065" s="226"/>
      <c r="I1065" s="237"/>
      <c r="J1065" s="9"/>
    </row>
    <row r="1066" spans="1:10" x14ac:dyDescent="0.35">
      <c r="A1066" s="189"/>
      <c r="B1066" s="542"/>
      <c r="C1066" s="8"/>
      <c r="D1066" s="8"/>
      <c r="E1066" s="236"/>
      <c r="F1066" s="226"/>
      <c r="G1066" s="376"/>
      <c r="H1066" s="226"/>
      <c r="I1066" s="237"/>
      <c r="J1066" s="9"/>
    </row>
    <row r="1067" spans="1:10" x14ac:dyDescent="0.35">
      <c r="A1067" s="189"/>
      <c r="B1067" s="542"/>
      <c r="C1067" s="8"/>
      <c r="D1067" s="8"/>
      <c r="E1067" s="236"/>
      <c r="F1067" s="226"/>
      <c r="G1067" s="376"/>
      <c r="H1067" s="226"/>
      <c r="I1067" s="237"/>
      <c r="J1067" s="9"/>
    </row>
    <row r="1068" spans="1:10" x14ac:dyDescent="0.35">
      <c r="A1068" s="189"/>
      <c r="B1068" s="542"/>
      <c r="C1068" s="8"/>
      <c r="D1068" s="8"/>
      <c r="E1068" s="236"/>
      <c r="F1068" s="226"/>
      <c r="G1068" s="376"/>
      <c r="H1068" s="226"/>
      <c r="I1068" s="237"/>
      <c r="J1068" s="9"/>
    </row>
    <row r="1069" spans="1:10" x14ac:dyDescent="0.35">
      <c r="A1069" s="189"/>
      <c r="B1069" s="542"/>
      <c r="C1069" s="8"/>
      <c r="D1069" s="8"/>
      <c r="E1069" s="236"/>
      <c r="F1069" s="226"/>
      <c r="G1069" s="376"/>
      <c r="H1069" s="226"/>
      <c r="I1069" s="237"/>
      <c r="J1069" s="9"/>
    </row>
    <row r="1070" spans="1:10" x14ac:dyDescent="0.35">
      <c r="A1070" s="189"/>
      <c r="B1070" s="542"/>
      <c r="C1070" s="8"/>
      <c r="D1070" s="8"/>
      <c r="E1070" s="236"/>
      <c r="F1070" s="226"/>
      <c r="G1070" s="376"/>
      <c r="H1070" s="226"/>
      <c r="I1070" s="237"/>
      <c r="J1070" s="9"/>
    </row>
    <row r="1071" spans="1:10" x14ac:dyDescent="0.35">
      <c r="A1071" s="189"/>
      <c r="B1071" s="542"/>
      <c r="C1071" s="8"/>
      <c r="D1071" s="8"/>
      <c r="E1071" s="236"/>
      <c r="F1071" s="226"/>
      <c r="G1071" s="376"/>
      <c r="H1071" s="226"/>
      <c r="I1071" s="237"/>
      <c r="J1071" s="9"/>
    </row>
    <row r="1072" spans="1:10" x14ac:dyDescent="0.35">
      <c r="A1072" s="189"/>
      <c r="B1072" s="542"/>
      <c r="C1072" s="8"/>
      <c r="D1072" s="8"/>
      <c r="E1072" s="236"/>
      <c r="F1072" s="226"/>
      <c r="G1072" s="376"/>
      <c r="H1072" s="226"/>
      <c r="I1072" s="237"/>
      <c r="J1072" s="9"/>
    </row>
    <row r="1073" spans="1:10" x14ac:dyDescent="0.35">
      <c r="A1073" s="189"/>
      <c r="B1073" s="542"/>
      <c r="C1073" s="8"/>
      <c r="D1073" s="8"/>
      <c r="E1073" s="236"/>
      <c r="F1073" s="226"/>
      <c r="G1073" s="376"/>
      <c r="H1073" s="226"/>
      <c r="I1073" s="237"/>
      <c r="J1073" s="9"/>
    </row>
    <row r="1074" spans="1:10" x14ac:dyDescent="0.35">
      <c r="A1074" s="189"/>
      <c r="B1074" s="542"/>
      <c r="C1074" s="8"/>
      <c r="D1074" s="8"/>
      <c r="E1074" s="236"/>
      <c r="F1074" s="226"/>
      <c r="G1074" s="376"/>
      <c r="H1074" s="226"/>
      <c r="I1074" s="237"/>
      <c r="J1074" s="9"/>
    </row>
    <row r="1075" spans="1:10" x14ac:dyDescent="0.35">
      <c r="A1075" s="189"/>
      <c r="B1075" s="542"/>
      <c r="C1075" s="8"/>
      <c r="D1075" s="8"/>
      <c r="E1075" s="236"/>
      <c r="F1075" s="226"/>
      <c r="G1075" s="376"/>
      <c r="H1075" s="226"/>
      <c r="I1075" s="237"/>
      <c r="J1075" s="9"/>
    </row>
    <row r="1076" spans="1:10" x14ac:dyDescent="0.35">
      <c r="A1076" s="189"/>
      <c r="B1076" s="542"/>
      <c r="C1076" s="8"/>
      <c r="D1076" s="8"/>
      <c r="E1076" s="236"/>
      <c r="F1076" s="226"/>
      <c r="G1076" s="376"/>
      <c r="H1076" s="226"/>
      <c r="I1076" s="237"/>
      <c r="J1076" s="9"/>
    </row>
    <row r="1077" spans="1:10" x14ac:dyDescent="0.35">
      <c r="A1077" s="189"/>
      <c r="B1077" s="542"/>
      <c r="C1077" s="8"/>
      <c r="D1077" s="8"/>
      <c r="E1077" s="236"/>
      <c r="F1077" s="226"/>
      <c r="G1077" s="376"/>
      <c r="H1077" s="226"/>
      <c r="I1077" s="237"/>
      <c r="J1077" s="9"/>
    </row>
    <row r="1078" spans="1:10" x14ac:dyDescent="0.35">
      <c r="A1078" s="189"/>
      <c r="B1078" s="542"/>
      <c r="C1078" s="8"/>
      <c r="D1078" s="8"/>
      <c r="E1078" s="236"/>
      <c r="F1078" s="226"/>
      <c r="G1078" s="376"/>
      <c r="H1078" s="226"/>
      <c r="I1078" s="237"/>
      <c r="J1078" s="9"/>
    </row>
    <row r="1079" spans="1:10" x14ac:dyDescent="0.35">
      <c r="A1079" s="225"/>
      <c r="B1079" s="545"/>
      <c r="C1079" s="8"/>
      <c r="D1079" s="8"/>
      <c r="E1079" s="241"/>
      <c r="F1079" s="227"/>
      <c r="G1079" s="378"/>
      <c r="H1079" s="227"/>
      <c r="I1079" s="242"/>
      <c r="J1079" s="9"/>
    </row>
    <row r="1080" spans="1:10" x14ac:dyDescent="0.35">
      <c r="A1080" s="189"/>
      <c r="B1080" s="541"/>
      <c r="C1080" s="8"/>
      <c r="D1080" s="8"/>
      <c r="E1080" s="236"/>
      <c r="F1080" s="226"/>
      <c r="G1080" s="376"/>
      <c r="H1080" s="226"/>
      <c r="I1080" s="237"/>
      <c r="J1080" s="9"/>
    </row>
    <row r="1081" spans="1:10" x14ac:dyDescent="0.35">
      <c r="A1081" s="189"/>
      <c r="B1081" s="542"/>
      <c r="C1081" s="8"/>
      <c r="D1081" s="8"/>
      <c r="E1081" s="236"/>
      <c r="F1081" s="226"/>
      <c r="G1081" s="376"/>
      <c r="H1081" s="226"/>
      <c r="I1081" s="237"/>
      <c r="J1081" s="9"/>
    </row>
    <row r="1082" spans="1:10" x14ac:dyDescent="0.35">
      <c r="A1082" s="189"/>
      <c r="B1082" s="542"/>
      <c r="C1082" s="8"/>
      <c r="D1082" s="8"/>
      <c r="E1082" s="236"/>
      <c r="F1082" s="226"/>
      <c r="G1082" s="376"/>
      <c r="H1082" s="226"/>
      <c r="I1082" s="237"/>
      <c r="J1082" s="9"/>
    </row>
    <row r="1083" spans="1:10" x14ac:dyDescent="0.35">
      <c r="A1083" s="189"/>
      <c r="B1083" s="542"/>
      <c r="C1083" s="8"/>
      <c r="D1083" s="8"/>
      <c r="E1083" s="236"/>
      <c r="F1083" s="226"/>
      <c r="G1083" s="376"/>
      <c r="H1083" s="226"/>
      <c r="I1083" s="237"/>
      <c r="J1083" s="9"/>
    </row>
    <row r="1084" spans="1:10" x14ac:dyDescent="0.35">
      <c r="A1084" s="189"/>
      <c r="B1084" s="542"/>
      <c r="C1084" s="8"/>
      <c r="D1084" s="8"/>
      <c r="E1084" s="236"/>
      <c r="F1084" s="226"/>
      <c r="G1084" s="376"/>
      <c r="H1084" s="226"/>
      <c r="I1084" s="237"/>
      <c r="J1084" s="9"/>
    </row>
    <row r="1085" spans="1:10" x14ac:dyDescent="0.35">
      <c r="A1085" s="189"/>
      <c r="B1085" s="542"/>
      <c r="C1085" s="8"/>
      <c r="D1085" s="8"/>
      <c r="E1085" s="236"/>
      <c r="F1085" s="226"/>
      <c r="G1085" s="376"/>
      <c r="H1085" s="226"/>
      <c r="I1085" s="237"/>
      <c r="J1085" s="9"/>
    </row>
    <row r="1086" spans="1:10" x14ac:dyDescent="0.35">
      <c r="A1086" s="189"/>
      <c r="B1086" s="542"/>
      <c r="C1086" s="8"/>
      <c r="D1086" s="8"/>
      <c r="E1086" s="236"/>
      <c r="F1086" s="226"/>
      <c r="G1086" s="376"/>
      <c r="H1086" s="226"/>
      <c r="I1086" s="237"/>
      <c r="J1086" s="9"/>
    </row>
    <row r="1087" spans="1:10" x14ac:dyDescent="0.35">
      <c r="A1087" s="189"/>
      <c r="B1087" s="542"/>
      <c r="C1087" s="8"/>
      <c r="D1087" s="8"/>
      <c r="E1087" s="236"/>
      <c r="F1087" s="226"/>
      <c r="G1087" s="376"/>
      <c r="H1087" s="226"/>
      <c r="I1087" s="237"/>
      <c r="J1087" s="9"/>
    </row>
    <row r="1088" spans="1:10" x14ac:dyDescent="0.35">
      <c r="A1088" s="189"/>
      <c r="B1088" s="542"/>
      <c r="C1088" s="8"/>
      <c r="D1088" s="8"/>
      <c r="E1088" s="236"/>
      <c r="F1088" s="226"/>
      <c r="G1088" s="376"/>
      <c r="H1088" s="226"/>
      <c r="I1088" s="237"/>
      <c r="J1088" s="9"/>
    </row>
    <row r="1089" spans="1:10" x14ac:dyDescent="0.35">
      <c r="A1089" s="189"/>
      <c r="B1089" s="542"/>
      <c r="C1089" s="8"/>
      <c r="D1089" s="8"/>
      <c r="E1089" s="236"/>
      <c r="F1089" s="226"/>
      <c r="G1089" s="376"/>
      <c r="H1089" s="226"/>
      <c r="I1089" s="237"/>
      <c r="J1089" s="9"/>
    </row>
    <row r="1090" spans="1:10" x14ac:dyDescent="0.35">
      <c r="A1090" s="189"/>
      <c r="B1090" s="542"/>
      <c r="C1090" s="8"/>
      <c r="D1090" s="8"/>
      <c r="E1090" s="236"/>
      <c r="F1090" s="226"/>
      <c r="G1090" s="376"/>
      <c r="H1090" s="226"/>
      <c r="I1090" s="237"/>
      <c r="J1090" s="9"/>
    </row>
    <row r="1091" spans="1:10" x14ac:dyDescent="0.35">
      <c r="A1091" s="189"/>
      <c r="B1091" s="542"/>
      <c r="C1091" s="8"/>
      <c r="D1091" s="8"/>
      <c r="E1091" s="236"/>
      <c r="F1091" s="226"/>
      <c r="G1091" s="376"/>
      <c r="H1091" s="226"/>
      <c r="I1091" s="237"/>
      <c r="J1091" s="9"/>
    </row>
    <row r="1092" spans="1:10" x14ac:dyDescent="0.35">
      <c r="A1092" s="189"/>
      <c r="B1092" s="542"/>
      <c r="C1092" s="8"/>
      <c r="D1092" s="8"/>
      <c r="E1092" s="236"/>
      <c r="F1092" s="226"/>
      <c r="G1092" s="376"/>
      <c r="H1092" s="226"/>
      <c r="I1092" s="237"/>
      <c r="J1092" s="9"/>
    </row>
    <row r="1093" spans="1:10" x14ac:dyDescent="0.35">
      <c r="A1093" s="189"/>
      <c r="B1093" s="542"/>
      <c r="C1093" s="8"/>
      <c r="D1093" s="8"/>
      <c r="E1093" s="236"/>
      <c r="F1093" s="226"/>
      <c r="G1093" s="376"/>
      <c r="H1093" s="226"/>
      <c r="I1093" s="237"/>
      <c r="J1093" s="9"/>
    </row>
    <row r="1094" spans="1:10" x14ac:dyDescent="0.35">
      <c r="A1094" s="189"/>
      <c r="B1094" s="542"/>
      <c r="C1094" s="8"/>
      <c r="D1094" s="8"/>
      <c r="E1094" s="236"/>
      <c r="F1094" s="226"/>
      <c r="G1094" s="376"/>
      <c r="H1094" s="226"/>
      <c r="I1094" s="237"/>
      <c r="J1094" s="9"/>
    </row>
    <row r="1095" spans="1:10" x14ac:dyDescent="0.35">
      <c r="A1095" s="189"/>
      <c r="B1095" s="542"/>
      <c r="C1095" s="8"/>
      <c r="D1095" s="8"/>
      <c r="E1095" s="236"/>
      <c r="F1095" s="226"/>
      <c r="G1095" s="376"/>
      <c r="H1095" s="226"/>
      <c r="I1095" s="237"/>
      <c r="J1095" s="9"/>
    </row>
    <row r="1096" spans="1:10" x14ac:dyDescent="0.35">
      <c r="A1096" s="225"/>
      <c r="B1096" s="545"/>
      <c r="C1096" s="8"/>
      <c r="D1096" s="8"/>
      <c r="E1096" s="241"/>
      <c r="F1096" s="227"/>
      <c r="G1096" s="378"/>
      <c r="H1096" s="227"/>
      <c r="I1096" s="242"/>
      <c r="J1096" s="9"/>
    </row>
  </sheetData>
  <sheetProtection algorithmName="SHA-512" hashValue="Ku/HqSVngyP1kJalUmpNb+1JNRcAvQoWLsJlHoHhfzKz5CLy/inkEjwLLccicGISehDYuR7ixN8i0BIT2GuGww==" saltValue="jKw6jgHAkMTRSjvWoC0uJA==" spinCount="100000" sheet="1" insertRows="0"/>
  <dataValidations xWindow="469" yWindow="542" count="6">
    <dataValidation type="whole" operator="greaterThanOrEqual" allowBlank="1" showInputMessage="1" showErrorMessage="1" error="See &quot;Definitions&quot; tab.  No negative values." prompt="See &quot;Definitions&quot; tab.  No negative values." sqref="I315:I457 H458:I1096 I289:I313 H289:H457 H9:I288" xr:uid="{EB151B2F-E496-4B48-9F13-AFCEFA6E8781}">
      <formula1>0</formula1>
    </dataValidation>
    <dataValidation type="whole" operator="greaterThanOrEqual" allowBlank="1" showInputMessage="1" showErrorMessage="1" error="The number of unique Rhode Island resident members for the age/sex cell participating in a plan each month with a medical benefit, regardless of whether the member has any paid claims.  See &quot;Definitions&quot; tab." promptTitle="Total MM by Age/Sex Band" prompt="The number of unique Rhode Island resident members for the age/sex cell participating in a plan each month with a medical benefit, regardless of whether the member has any paid claims.  See &quot;Definitions&quot; tab.  No negative values." sqref="E9:E1096" xr:uid="{187CA5AD-9228-495C-8F6C-F377313B2D06}">
      <formula1>0</formula1>
    </dataValidation>
    <dataValidation type="whole" allowBlank="1" showInputMessage="1" showErrorMessage="1" promptTitle="Age Band Code" prompt="1: 0 to 1 year old_x000a_2: 2 to 18 year old_x000a_3: 19 to 39 year old_x000a_4: 40 to 54 year old_x000a_5: 55 to 64 year old_x000a_6: 65 to 74 year old_x000a_7: 75 to 84 year old_x000a_8: 85+ year old" sqref="C9:C1096" xr:uid="{117725DE-B27F-4374-BC7B-DF109F5F5502}">
      <formula1>1</formula1>
      <formula2>8</formula2>
    </dataValidation>
    <dataValidation type="whole" allowBlank="1" showInputMessage="1" showErrorMessage="1" promptTitle="Sex Band Codes" prompt="1: Female_x000a_2: Male" sqref="D9:D1096" xr:uid="{4F73A031-3617-4BED-BFFA-C4111A361854}">
      <formula1>1</formula1>
      <formula2>2</formula2>
    </dataValidation>
    <dataValidation type="whole" operator="greaterThanOrEqual" allowBlank="1" showInputMessage="1" showErrorMessage="1" error="See &quot;Definitions&quot; tab.  No negative values." promptTitle="Total Spending before Truncation" prompt="See &quot;Definitions&quot; tab.  No negative values." sqref="F9:F1096" xr:uid="{714E421F-7708-43D9-A5B7-B7C5FE56AAF0}">
      <formula1>0</formula1>
    </dataValidation>
    <dataValidation type="whole" allowBlank="1" showInputMessage="1" showErrorMessage="1" prompt="See &quot;Definitions&quot; tab. No negative values." sqref="G9:G1096" xr:uid="{14AED63D-457D-4441-BC5F-30ADA0E226DD}">
      <formula1>0</formula1>
      <formula2>10000000</formula2>
    </dataValidation>
  </dataValidations>
  <pageMargins left="0.7" right="0.7" top="0.75" bottom="0.75" header="0.3" footer="0.3"/>
  <pageSetup orientation="portrait" horizontalDpi="1200" verticalDpi="1200" r:id="rId1"/>
  <tableParts count="1">
    <tablePart r:id="rId2"/>
  </tableParts>
  <extLst>
    <ext xmlns:x14="http://schemas.microsoft.com/office/spreadsheetml/2009/9/main" uri="{CCE6A557-97BC-4b89-ADB6-D9C93CAAB3DF}">
      <x14:dataValidations xmlns:xm="http://schemas.microsoft.com/office/excel/2006/main" xWindow="469" yWindow="542" count="2">
        <x14:dataValidation type="list" allowBlank="1" showInputMessage="1" showErrorMessage="1" error="Please input the insurance category being reported (see &quot;Reference Tables&quot; tab)." promptTitle="Insurance Category Code" prompt="1: Medicare &amp; Medicare Managed Care_x000a_2: Medicaid &amp; Medicaid Managed Care_x000a_3: Commerical: Full-Claims_x000a_4: Commercial: Partial-Adjusted_x000a_5: Medicare Exp. for Duals_x000a_6: Medicaid Exp. &amp; Medicaid Duals_x000a_7: Medicare/Medicaid Int. Duals_x000a_8: Other" xr:uid="{DBF50D9D-BAD1-4798-ADA9-D53A1069A026}">
          <x14:formula1>
            <xm:f>'Reference Tables'!$A$34:$A$41</xm:f>
          </x14:formula1>
          <xm:sqref>B458:B1096</xm:sqref>
        </x14:dataValidation>
        <x14:dataValidation type="list" operator="equal" allowBlank="1" showInputMessage="1" showErrorMessage="1" error="Please input the ID being reported (see &quot;Reference Tables&quot; tab)." promptTitle="ACO/AE ID or Insurer overall" prompt="Insurer Overall: 100_x000a_Blackstone Valley CHC: 101_x000a_Coastal Medical: 102_x000a_Integra Community Care Network: 103_x000a_Integrated HCP: 104_x000a_Lifespan: 105_x000a_Providence CHC: 106_x000a_Prospect CharterCARE: 107_x000a_Thundermist: 108_x000a_Members Not Attributed to an ACO/AE: 999" xr:uid="{7BA05FC6-F5AD-4AD5-9D7D-362B2BB84BDF}">
          <x14:formula1>
            <xm:f>'Reference Tables'!$A$10:$A$19</xm:f>
          </x14:formula1>
          <xm:sqref>A458:A1096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92C5C-AFBB-4011-9CF3-BC225F27026D}">
  <sheetPr codeName="Sheet13">
    <tabColor theme="3"/>
  </sheetPr>
  <dimension ref="A1:J1096"/>
  <sheetViews>
    <sheetView workbookViewId="0"/>
  </sheetViews>
  <sheetFormatPr defaultColWidth="9.1796875" defaultRowHeight="14.5" x14ac:dyDescent="0.35"/>
  <cols>
    <col min="1" max="9" width="25.54296875" customWidth="1"/>
    <col min="10" max="10" width="32.26953125" customWidth="1"/>
    <col min="11" max="13" width="11.7265625" customWidth="1"/>
    <col min="14" max="18" width="20.7265625" customWidth="1"/>
  </cols>
  <sheetData>
    <row r="1" spans="1:10" x14ac:dyDescent="0.35">
      <c r="A1" s="1" t="s">
        <v>181</v>
      </c>
    </row>
    <row r="2" spans="1:10" x14ac:dyDescent="0.35">
      <c r="A2" s="1" t="s">
        <v>668</v>
      </c>
    </row>
    <row r="4" spans="1:10" x14ac:dyDescent="0.35">
      <c r="A4" t="s">
        <v>227</v>
      </c>
    </row>
    <row r="5" spans="1:10" x14ac:dyDescent="0.35">
      <c r="A5" s="139"/>
    </row>
    <row r="6" spans="1:10" x14ac:dyDescent="0.35">
      <c r="A6" t="s">
        <v>585</v>
      </c>
    </row>
    <row r="7" spans="1:10" x14ac:dyDescent="0.35">
      <c r="A7" s="1"/>
      <c r="C7" s="3" t="s">
        <v>64</v>
      </c>
      <c r="D7" s="3" t="s">
        <v>65</v>
      </c>
      <c r="E7" s="3" t="s">
        <v>66</v>
      </c>
      <c r="F7" s="3" t="s">
        <v>67</v>
      </c>
      <c r="G7" s="3" t="s">
        <v>68</v>
      </c>
      <c r="H7" s="3" t="s">
        <v>69</v>
      </c>
      <c r="I7" s="3" t="s">
        <v>70</v>
      </c>
      <c r="J7" s="3" t="s">
        <v>71</v>
      </c>
    </row>
    <row r="8" spans="1:10" ht="58" x14ac:dyDescent="0.35">
      <c r="A8" s="141" t="s">
        <v>646</v>
      </c>
      <c r="B8" s="142" t="s">
        <v>3</v>
      </c>
      <c r="C8" s="142" t="s">
        <v>528</v>
      </c>
      <c r="D8" s="142" t="s">
        <v>584</v>
      </c>
      <c r="E8" s="142" t="s">
        <v>228</v>
      </c>
      <c r="F8" s="142" t="s">
        <v>244</v>
      </c>
      <c r="G8" s="142" t="s">
        <v>252</v>
      </c>
      <c r="H8" s="142" t="s">
        <v>194</v>
      </c>
      <c r="I8" s="143" t="s">
        <v>195</v>
      </c>
      <c r="J8" s="506" t="s">
        <v>763</v>
      </c>
    </row>
    <row r="9" spans="1:10" x14ac:dyDescent="0.35">
      <c r="A9" s="189"/>
      <c r="B9" s="547"/>
      <c r="C9" s="8"/>
      <c r="D9" s="8"/>
      <c r="E9" s="236"/>
      <c r="F9" s="226"/>
      <c r="G9" s="226"/>
      <c r="H9" s="226"/>
      <c r="I9" s="237"/>
      <c r="J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0" spans="1:10" x14ac:dyDescent="0.35">
      <c r="A10" s="189"/>
      <c r="B10" s="542"/>
      <c r="C10" s="8"/>
      <c r="D10" s="8"/>
      <c r="E10" s="236"/>
      <c r="F10" s="226"/>
      <c r="G10" s="226"/>
      <c r="H10" s="226"/>
      <c r="I10" s="237"/>
      <c r="J1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1" spans="1:10" x14ac:dyDescent="0.35">
      <c r="A11" s="189"/>
      <c r="B11" s="542"/>
      <c r="C11" s="8"/>
      <c r="D11" s="8"/>
      <c r="E11" s="236"/>
      <c r="F11" s="226"/>
      <c r="G11" s="226"/>
      <c r="H11" s="226"/>
      <c r="I11" s="237"/>
      <c r="J1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2" spans="1:10" x14ac:dyDescent="0.35">
      <c r="A12" s="189"/>
      <c r="B12" s="542"/>
      <c r="C12" s="8"/>
      <c r="D12" s="8"/>
      <c r="E12" s="236"/>
      <c r="F12" s="226"/>
      <c r="G12" s="226"/>
      <c r="H12" s="226"/>
      <c r="I12" s="237"/>
      <c r="J1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3" spans="1:10" x14ac:dyDescent="0.35">
      <c r="A13" s="189"/>
      <c r="B13" s="542"/>
      <c r="C13" s="8"/>
      <c r="D13" s="8"/>
      <c r="E13" s="236"/>
      <c r="F13" s="226"/>
      <c r="G13" s="226"/>
      <c r="H13" s="226"/>
      <c r="I13" s="237"/>
      <c r="J1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4" spans="1:10" x14ac:dyDescent="0.35">
      <c r="A14" s="189"/>
      <c r="B14" s="542"/>
      <c r="C14" s="8"/>
      <c r="D14" s="8"/>
      <c r="E14" s="236"/>
      <c r="F14" s="226"/>
      <c r="G14" s="226"/>
      <c r="H14" s="226"/>
      <c r="I14" s="237"/>
      <c r="J1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5" spans="1:10" x14ac:dyDescent="0.35">
      <c r="A15" s="189"/>
      <c r="B15" s="542"/>
      <c r="C15" s="8"/>
      <c r="D15" s="8"/>
      <c r="E15" s="236"/>
      <c r="F15" s="226"/>
      <c r="G15" s="226"/>
      <c r="H15" s="226"/>
      <c r="I15" s="237"/>
      <c r="J1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6" spans="1:10" x14ac:dyDescent="0.35">
      <c r="A16" s="189"/>
      <c r="B16" s="542"/>
      <c r="C16" s="8"/>
      <c r="D16" s="8"/>
      <c r="E16" s="236"/>
      <c r="F16" s="226"/>
      <c r="G16" s="226"/>
      <c r="H16" s="226"/>
      <c r="I16" s="237"/>
      <c r="J1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7" spans="1:10" x14ac:dyDescent="0.35">
      <c r="A17" s="189"/>
      <c r="B17" s="542"/>
      <c r="C17" s="8"/>
      <c r="D17" s="8"/>
      <c r="E17" s="236"/>
      <c r="F17" s="226"/>
      <c r="G17" s="226"/>
      <c r="H17" s="226"/>
      <c r="I17" s="237"/>
      <c r="J1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8" spans="1:10" x14ac:dyDescent="0.35">
      <c r="A18" s="189"/>
      <c r="B18" s="542"/>
      <c r="C18" s="8"/>
      <c r="D18" s="8"/>
      <c r="E18" s="236"/>
      <c r="F18" s="226"/>
      <c r="G18" s="226"/>
      <c r="H18" s="226"/>
      <c r="I18" s="237"/>
      <c r="J1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9" spans="1:10" x14ac:dyDescent="0.35">
      <c r="A19" s="189"/>
      <c r="B19" s="542"/>
      <c r="C19" s="8"/>
      <c r="D19" s="8"/>
      <c r="E19" s="236"/>
      <c r="F19" s="226"/>
      <c r="G19" s="226"/>
      <c r="H19" s="226"/>
      <c r="I19" s="237"/>
      <c r="J1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0" spans="1:10" x14ac:dyDescent="0.35">
      <c r="A20" s="189"/>
      <c r="B20" s="542"/>
      <c r="C20" s="8"/>
      <c r="D20" s="8"/>
      <c r="E20" s="236"/>
      <c r="F20" s="226"/>
      <c r="G20" s="226"/>
      <c r="H20" s="226"/>
      <c r="I20" s="237"/>
      <c r="J2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1" spans="1:10" x14ac:dyDescent="0.35">
      <c r="A21" s="189"/>
      <c r="B21" s="542"/>
      <c r="C21" s="8"/>
      <c r="D21" s="8"/>
      <c r="E21" s="236"/>
      <c r="F21" s="226"/>
      <c r="G21" s="226"/>
      <c r="H21" s="226"/>
      <c r="I21" s="237"/>
      <c r="J2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2" spans="1:10" x14ac:dyDescent="0.35">
      <c r="A22" s="189"/>
      <c r="B22" s="542"/>
      <c r="C22" s="8"/>
      <c r="D22" s="8"/>
      <c r="E22" s="236"/>
      <c r="F22" s="226"/>
      <c r="G22" s="226"/>
      <c r="H22" s="226"/>
      <c r="I22" s="237"/>
      <c r="J2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3" spans="1:10" x14ac:dyDescent="0.35">
      <c r="A23" s="189"/>
      <c r="B23" s="542"/>
      <c r="C23" s="8"/>
      <c r="D23" s="8"/>
      <c r="E23" s="236"/>
      <c r="F23" s="226"/>
      <c r="G23" s="226"/>
      <c r="H23" s="226"/>
      <c r="I23" s="237"/>
      <c r="J2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4" spans="1:10" x14ac:dyDescent="0.35">
      <c r="A24" s="189"/>
      <c r="B24" s="542"/>
      <c r="C24" s="8"/>
      <c r="D24" s="8"/>
      <c r="E24" s="236"/>
      <c r="F24" s="226"/>
      <c r="G24" s="226"/>
      <c r="H24" s="226"/>
      <c r="I24" s="237"/>
      <c r="J2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5" spans="1:10" x14ac:dyDescent="0.35">
      <c r="A25" s="189"/>
      <c r="B25" s="542"/>
      <c r="C25" s="8"/>
      <c r="D25" s="8"/>
      <c r="E25" s="238"/>
      <c r="F25" s="239"/>
      <c r="G25" s="235"/>
      <c r="H25" s="239"/>
      <c r="I25" s="240"/>
      <c r="J2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6" spans="1:10" x14ac:dyDescent="0.35">
      <c r="A26" s="189"/>
      <c r="B26" s="541"/>
      <c r="C26" s="8"/>
      <c r="D26" s="8"/>
      <c r="E26" s="236"/>
      <c r="F26" s="226"/>
      <c r="G26" s="226"/>
      <c r="H26" s="226"/>
      <c r="I26" s="237"/>
      <c r="J2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7" spans="1:10" x14ac:dyDescent="0.35">
      <c r="A27" s="189"/>
      <c r="B27" s="546"/>
      <c r="C27" s="8"/>
      <c r="D27" s="8"/>
      <c r="E27" s="236"/>
      <c r="F27" s="226"/>
      <c r="G27" s="226"/>
      <c r="H27" s="226"/>
      <c r="I27" s="237"/>
      <c r="J2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8" spans="1:10" x14ac:dyDescent="0.35">
      <c r="A28" s="189"/>
      <c r="B28" s="542"/>
      <c r="C28" s="8"/>
      <c r="D28" s="8"/>
      <c r="E28" s="236"/>
      <c r="F28" s="226"/>
      <c r="G28" s="226"/>
      <c r="H28" s="226"/>
      <c r="I28" s="237"/>
      <c r="J2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9" spans="1:10" x14ac:dyDescent="0.35">
      <c r="A29" s="189"/>
      <c r="B29" s="546"/>
      <c r="C29" s="8"/>
      <c r="D29" s="8"/>
      <c r="E29" s="236"/>
      <c r="F29" s="226"/>
      <c r="G29" s="226"/>
      <c r="H29" s="226"/>
      <c r="I29" s="237"/>
      <c r="J2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0" spans="1:10" x14ac:dyDescent="0.35">
      <c r="A30" s="189"/>
      <c r="B30" s="542"/>
      <c r="C30" s="8"/>
      <c r="D30" s="8"/>
      <c r="E30" s="236"/>
      <c r="F30" s="226"/>
      <c r="G30" s="226"/>
      <c r="H30" s="226"/>
      <c r="I30" s="237"/>
      <c r="J3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1" spans="1:10" x14ac:dyDescent="0.35">
      <c r="A31" s="189"/>
      <c r="B31" s="546"/>
      <c r="C31" s="8"/>
      <c r="D31" s="8"/>
      <c r="E31" s="236"/>
      <c r="F31" s="226"/>
      <c r="G31" s="226"/>
      <c r="H31" s="226"/>
      <c r="I31" s="237"/>
      <c r="J3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2" spans="1:10" x14ac:dyDescent="0.35">
      <c r="A32" s="189"/>
      <c r="B32" s="542"/>
      <c r="C32" s="8"/>
      <c r="D32" s="8"/>
      <c r="E32" s="236"/>
      <c r="F32" s="226"/>
      <c r="G32" s="226"/>
      <c r="H32" s="226"/>
      <c r="I32" s="237"/>
      <c r="J3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3" spans="1:10" x14ac:dyDescent="0.35">
      <c r="A33" s="189"/>
      <c r="B33" s="546"/>
      <c r="C33" s="8"/>
      <c r="D33" s="8"/>
      <c r="E33" s="236"/>
      <c r="F33" s="226"/>
      <c r="G33" s="226"/>
      <c r="H33" s="226"/>
      <c r="I33" s="237"/>
      <c r="J3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4" spans="1:10" x14ac:dyDescent="0.35">
      <c r="A34" s="189"/>
      <c r="B34" s="542"/>
      <c r="C34" s="8"/>
      <c r="D34" s="8"/>
      <c r="E34" s="236"/>
      <c r="F34" s="226"/>
      <c r="G34" s="226"/>
      <c r="H34" s="226"/>
      <c r="I34" s="237"/>
      <c r="J3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5" spans="1:10" x14ac:dyDescent="0.35">
      <c r="A35" s="189"/>
      <c r="B35" s="546"/>
      <c r="C35" s="8"/>
      <c r="D35" s="8"/>
      <c r="E35" s="236"/>
      <c r="F35" s="226"/>
      <c r="G35" s="226"/>
      <c r="H35" s="226"/>
      <c r="I35" s="237"/>
      <c r="J3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6" spans="1:10" x14ac:dyDescent="0.35">
      <c r="A36" s="189"/>
      <c r="B36" s="542"/>
      <c r="C36" s="8"/>
      <c r="D36" s="8"/>
      <c r="E36" s="236"/>
      <c r="F36" s="226"/>
      <c r="G36" s="226"/>
      <c r="H36" s="226"/>
      <c r="I36" s="237"/>
      <c r="J3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7" spans="1:10" x14ac:dyDescent="0.35">
      <c r="A37" s="189"/>
      <c r="B37" s="546"/>
      <c r="C37" s="8"/>
      <c r="D37" s="8"/>
      <c r="E37" s="236"/>
      <c r="F37" s="226"/>
      <c r="G37" s="226"/>
      <c r="H37" s="226"/>
      <c r="I37" s="237"/>
      <c r="J3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8" spans="1:10" x14ac:dyDescent="0.35">
      <c r="A38" s="189"/>
      <c r="B38" s="542"/>
      <c r="C38" s="8"/>
      <c r="D38" s="8"/>
      <c r="E38" s="236"/>
      <c r="F38" s="226"/>
      <c r="G38" s="226"/>
      <c r="H38" s="226"/>
      <c r="I38" s="237"/>
      <c r="J3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9" spans="1:10" x14ac:dyDescent="0.35">
      <c r="A39" s="189"/>
      <c r="B39" s="546"/>
      <c r="C39" s="8"/>
      <c r="D39" s="8"/>
      <c r="E39" s="236"/>
      <c r="F39" s="226"/>
      <c r="G39" s="226"/>
      <c r="H39" s="226"/>
      <c r="I39" s="237"/>
      <c r="J3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0" spans="1:10" x14ac:dyDescent="0.35">
      <c r="A40" s="189"/>
      <c r="B40" s="542"/>
      <c r="C40" s="8"/>
      <c r="D40" s="8"/>
      <c r="E40" s="236"/>
      <c r="F40" s="226"/>
      <c r="G40" s="226"/>
      <c r="H40" s="226"/>
      <c r="I40" s="237"/>
      <c r="J4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1" spans="1:10" x14ac:dyDescent="0.35">
      <c r="A41" s="189"/>
      <c r="B41" s="546"/>
      <c r="C41" s="8"/>
      <c r="D41" s="8"/>
      <c r="E41" s="236"/>
      <c r="F41" s="226"/>
      <c r="G41" s="226"/>
      <c r="H41" s="226"/>
      <c r="I41" s="237"/>
      <c r="J4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2" spans="1:10" x14ac:dyDescent="0.35">
      <c r="A42" s="189"/>
      <c r="B42" s="542"/>
      <c r="C42" s="8"/>
      <c r="D42" s="8"/>
      <c r="E42" s="238"/>
      <c r="F42" s="239"/>
      <c r="G42" s="235"/>
      <c r="H42" s="239"/>
      <c r="I42" s="240"/>
      <c r="J4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3" spans="1:10" x14ac:dyDescent="0.35">
      <c r="A43" s="189"/>
      <c r="B43" s="547"/>
      <c r="C43" s="8"/>
      <c r="D43" s="8"/>
      <c r="E43" s="236"/>
      <c r="F43" s="226"/>
      <c r="G43" s="226"/>
      <c r="H43" s="226"/>
      <c r="I43" s="237"/>
      <c r="J4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4" spans="1:10" x14ac:dyDescent="0.35">
      <c r="A44" s="189"/>
      <c r="B44" s="542"/>
      <c r="C44" s="8"/>
      <c r="D44" s="8"/>
      <c r="E44" s="236"/>
      <c r="F44" s="226"/>
      <c r="G44" s="226"/>
      <c r="H44" s="226"/>
      <c r="I44" s="237"/>
      <c r="J4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5" spans="1:10" x14ac:dyDescent="0.35">
      <c r="A45" s="189"/>
      <c r="B45" s="546"/>
      <c r="C45" s="8"/>
      <c r="D45" s="8"/>
      <c r="E45" s="236"/>
      <c r="F45" s="226"/>
      <c r="G45" s="226"/>
      <c r="H45" s="226"/>
      <c r="I45" s="237"/>
      <c r="J4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6" spans="1:10" x14ac:dyDescent="0.35">
      <c r="A46" s="189"/>
      <c r="B46" s="542"/>
      <c r="C46" s="8"/>
      <c r="D46" s="8"/>
      <c r="E46" s="236"/>
      <c r="F46" s="226"/>
      <c r="G46" s="226"/>
      <c r="H46" s="226"/>
      <c r="I46" s="237"/>
      <c r="J4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7" spans="1:10" x14ac:dyDescent="0.35">
      <c r="A47" s="189"/>
      <c r="B47" s="546"/>
      <c r="C47" s="8"/>
      <c r="D47" s="8"/>
      <c r="E47" s="236"/>
      <c r="F47" s="226"/>
      <c r="G47" s="226"/>
      <c r="H47" s="226"/>
      <c r="I47" s="237"/>
      <c r="J4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8" spans="1:10" x14ac:dyDescent="0.35">
      <c r="A48" s="189"/>
      <c r="B48" s="542"/>
      <c r="C48" s="8"/>
      <c r="D48" s="8"/>
      <c r="E48" s="236"/>
      <c r="F48" s="226"/>
      <c r="G48" s="226"/>
      <c r="H48" s="226"/>
      <c r="I48" s="237"/>
      <c r="J4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9" spans="1:10" x14ac:dyDescent="0.35">
      <c r="A49" s="189"/>
      <c r="B49" s="546"/>
      <c r="C49" s="8"/>
      <c r="D49" s="8"/>
      <c r="E49" s="236"/>
      <c r="F49" s="226"/>
      <c r="G49" s="226"/>
      <c r="H49" s="226"/>
      <c r="I49" s="237"/>
      <c r="J4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50" spans="1:10" x14ac:dyDescent="0.35">
      <c r="A50" s="189"/>
      <c r="B50" s="542"/>
      <c r="C50" s="8"/>
      <c r="D50" s="8"/>
      <c r="E50" s="236"/>
      <c r="F50" s="226"/>
      <c r="G50" s="226"/>
      <c r="H50" s="226"/>
      <c r="I50" s="237"/>
      <c r="J5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51" spans="1:10" x14ac:dyDescent="0.35">
      <c r="A51" s="189"/>
      <c r="B51" s="546"/>
      <c r="C51" s="8"/>
      <c r="D51" s="8"/>
      <c r="E51" s="236"/>
      <c r="F51" s="226"/>
      <c r="G51" s="226"/>
      <c r="H51" s="226"/>
      <c r="I51" s="237"/>
      <c r="J5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52" spans="1:10" x14ac:dyDescent="0.35">
      <c r="A52" s="189"/>
      <c r="B52" s="542"/>
      <c r="C52" s="8"/>
      <c r="D52" s="8"/>
      <c r="E52" s="236"/>
      <c r="F52" s="226"/>
      <c r="G52" s="226"/>
      <c r="H52" s="226"/>
      <c r="I52" s="237"/>
      <c r="J5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53" spans="1:10" x14ac:dyDescent="0.35">
      <c r="A53" s="189"/>
      <c r="B53" s="546"/>
      <c r="C53" s="8"/>
      <c r="D53" s="8"/>
      <c r="E53" s="236"/>
      <c r="F53" s="226"/>
      <c r="G53" s="226"/>
      <c r="H53" s="226"/>
      <c r="I53" s="237"/>
      <c r="J5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54" spans="1:10" x14ac:dyDescent="0.35">
      <c r="A54" s="189"/>
      <c r="B54" s="542"/>
      <c r="C54" s="8"/>
      <c r="D54" s="8"/>
      <c r="E54" s="236"/>
      <c r="F54" s="226"/>
      <c r="G54" s="226"/>
      <c r="H54" s="226"/>
      <c r="I54" s="237"/>
      <c r="J5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55" spans="1:10" x14ac:dyDescent="0.35">
      <c r="A55" s="189"/>
      <c r="B55" s="546"/>
      <c r="C55" s="8"/>
      <c r="D55" s="8"/>
      <c r="E55" s="236"/>
      <c r="F55" s="226"/>
      <c r="G55" s="226"/>
      <c r="H55" s="226"/>
      <c r="I55" s="237"/>
      <c r="J5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56" spans="1:10" x14ac:dyDescent="0.35">
      <c r="A56" s="189"/>
      <c r="B56" s="542"/>
      <c r="C56" s="8"/>
      <c r="D56" s="8"/>
      <c r="E56" s="236"/>
      <c r="F56" s="226"/>
      <c r="G56" s="226"/>
      <c r="H56" s="226"/>
      <c r="I56" s="237"/>
      <c r="J5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57" spans="1:10" x14ac:dyDescent="0.35">
      <c r="A57" s="189"/>
      <c r="B57" s="546"/>
      <c r="C57" s="8"/>
      <c r="D57" s="8"/>
      <c r="E57" s="236"/>
      <c r="F57" s="226"/>
      <c r="G57" s="226"/>
      <c r="H57" s="226"/>
      <c r="I57" s="237"/>
      <c r="J5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58" spans="1:10" x14ac:dyDescent="0.35">
      <c r="A58" s="189"/>
      <c r="B58" s="542"/>
      <c r="C58" s="8"/>
      <c r="D58" s="8"/>
      <c r="E58" s="236"/>
      <c r="F58" s="226"/>
      <c r="G58" s="226"/>
      <c r="H58" s="226"/>
      <c r="I58" s="237"/>
      <c r="J5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59" spans="1:10" x14ac:dyDescent="0.35">
      <c r="A59" s="189"/>
      <c r="B59" s="546"/>
      <c r="C59" s="8"/>
      <c r="D59" s="8"/>
      <c r="E59" s="238"/>
      <c r="F59" s="239"/>
      <c r="G59" s="235"/>
      <c r="H59" s="239"/>
      <c r="I59" s="240"/>
      <c r="J5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60" spans="1:10" x14ac:dyDescent="0.35">
      <c r="A60" s="189"/>
      <c r="B60" s="541"/>
      <c r="C60" s="8"/>
      <c r="D60" s="8"/>
      <c r="E60" s="236"/>
      <c r="F60" s="226"/>
      <c r="G60" s="226"/>
      <c r="H60" s="226"/>
      <c r="I60" s="237"/>
      <c r="J6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61" spans="1:10" x14ac:dyDescent="0.35">
      <c r="A61" s="189"/>
      <c r="B61" s="546"/>
      <c r="C61" s="8"/>
      <c r="D61" s="8"/>
      <c r="E61" s="236"/>
      <c r="F61" s="226"/>
      <c r="G61" s="226"/>
      <c r="H61" s="226"/>
      <c r="I61" s="237"/>
      <c r="J6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62" spans="1:10" x14ac:dyDescent="0.35">
      <c r="A62" s="189"/>
      <c r="B62" s="542"/>
      <c r="C62" s="8"/>
      <c r="D62" s="8"/>
      <c r="E62" s="236"/>
      <c r="F62" s="226"/>
      <c r="G62" s="226"/>
      <c r="H62" s="226"/>
      <c r="I62" s="237"/>
      <c r="J6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63" spans="1:10" x14ac:dyDescent="0.35">
      <c r="A63" s="189"/>
      <c r="B63" s="546"/>
      <c r="C63" s="8"/>
      <c r="D63" s="8"/>
      <c r="E63" s="236"/>
      <c r="F63" s="226"/>
      <c r="G63" s="226"/>
      <c r="H63" s="226"/>
      <c r="I63" s="237"/>
      <c r="J6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64" spans="1:10" x14ac:dyDescent="0.35">
      <c r="A64" s="189"/>
      <c r="B64" s="542"/>
      <c r="C64" s="8"/>
      <c r="D64" s="8"/>
      <c r="E64" s="236"/>
      <c r="F64" s="226"/>
      <c r="G64" s="226"/>
      <c r="H64" s="226"/>
      <c r="I64" s="237"/>
      <c r="J6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65" spans="1:10" x14ac:dyDescent="0.35">
      <c r="A65" s="189"/>
      <c r="B65" s="546"/>
      <c r="C65" s="8"/>
      <c r="D65" s="8"/>
      <c r="E65" s="236"/>
      <c r="F65" s="226"/>
      <c r="G65" s="226"/>
      <c r="H65" s="226"/>
      <c r="I65" s="237"/>
      <c r="J6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66" spans="1:10" x14ac:dyDescent="0.35">
      <c r="A66" s="189"/>
      <c r="B66" s="542"/>
      <c r="C66" s="8"/>
      <c r="D66" s="8"/>
      <c r="E66" s="236"/>
      <c r="F66" s="226"/>
      <c r="G66" s="226"/>
      <c r="H66" s="226"/>
      <c r="I66" s="237"/>
      <c r="J6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67" spans="1:10" x14ac:dyDescent="0.35">
      <c r="A67" s="189"/>
      <c r="B67" s="546"/>
      <c r="C67" s="8"/>
      <c r="D67" s="8"/>
      <c r="E67" s="236"/>
      <c r="F67" s="226"/>
      <c r="G67" s="226"/>
      <c r="H67" s="226"/>
      <c r="I67" s="237"/>
      <c r="J6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68" spans="1:10" x14ac:dyDescent="0.35">
      <c r="A68" s="189"/>
      <c r="B68" s="542"/>
      <c r="C68" s="8"/>
      <c r="D68" s="8"/>
      <c r="E68" s="236"/>
      <c r="F68" s="226"/>
      <c r="G68" s="226"/>
      <c r="H68" s="226"/>
      <c r="I68" s="237"/>
      <c r="J6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69" spans="1:10" x14ac:dyDescent="0.35">
      <c r="A69" s="189"/>
      <c r="B69" s="546"/>
      <c r="C69" s="8"/>
      <c r="D69" s="8"/>
      <c r="E69" s="236"/>
      <c r="F69" s="226"/>
      <c r="G69" s="226"/>
      <c r="H69" s="226"/>
      <c r="I69" s="237"/>
      <c r="J6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70" spans="1:10" x14ac:dyDescent="0.35">
      <c r="A70" s="189"/>
      <c r="B70" s="542"/>
      <c r="C70" s="8"/>
      <c r="D70" s="8"/>
      <c r="E70" s="236"/>
      <c r="F70" s="226"/>
      <c r="G70" s="226"/>
      <c r="H70" s="226"/>
      <c r="I70" s="237"/>
      <c r="J7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71" spans="1:10" x14ac:dyDescent="0.35">
      <c r="A71" s="189"/>
      <c r="B71" s="546"/>
      <c r="C71" s="8"/>
      <c r="D71" s="8"/>
      <c r="E71" s="236"/>
      <c r="F71" s="226"/>
      <c r="G71" s="226"/>
      <c r="H71" s="226"/>
      <c r="I71" s="237"/>
      <c r="J7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72" spans="1:10" x14ac:dyDescent="0.35">
      <c r="A72" s="189"/>
      <c r="B72" s="542"/>
      <c r="C72" s="8"/>
      <c r="D72" s="8"/>
      <c r="E72" s="236"/>
      <c r="F72" s="226"/>
      <c r="G72" s="226"/>
      <c r="H72" s="226"/>
      <c r="I72" s="237"/>
      <c r="J7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73" spans="1:10" x14ac:dyDescent="0.35">
      <c r="A73" s="189"/>
      <c r="B73" s="546"/>
      <c r="C73" s="8"/>
      <c r="D73" s="8"/>
      <c r="E73" s="236"/>
      <c r="F73" s="226"/>
      <c r="G73" s="226"/>
      <c r="H73" s="226"/>
      <c r="I73" s="237"/>
      <c r="J7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74" spans="1:10" x14ac:dyDescent="0.35">
      <c r="A74" s="189"/>
      <c r="B74" s="542"/>
      <c r="C74" s="8"/>
      <c r="D74" s="8"/>
      <c r="E74" s="236"/>
      <c r="F74" s="226"/>
      <c r="G74" s="226"/>
      <c r="H74" s="226"/>
      <c r="I74" s="237"/>
      <c r="J7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75" spans="1:10" x14ac:dyDescent="0.35">
      <c r="A75" s="189"/>
      <c r="B75" s="546"/>
      <c r="C75" s="8"/>
      <c r="D75" s="8"/>
      <c r="E75" s="236"/>
      <c r="F75" s="226"/>
      <c r="G75" s="226"/>
      <c r="H75" s="226"/>
      <c r="I75" s="237"/>
      <c r="J7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76" spans="1:10" x14ac:dyDescent="0.35">
      <c r="A76" s="189"/>
      <c r="B76" s="542"/>
      <c r="C76" s="8"/>
      <c r="D76" s="8"/>
      <c r="E76" s="238"/>
      <c r="F76" s="239"/>
      <c r="G76" s="235"/>
      <c r="H76" s="239"/>
      <c r="I76" s="240"/>
      <c r="J7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77" spans="1:10" x14ac:dyDescent="0.35">
      <c r="A77" s="189"/>
      <c r="B77" s="547"/>
      <c r="C77" s="8"/>
      <c r="D77" s="8"/>
      <c r="E77" s="236"/>
      <c r="F77" s="226"/>
      <c r="G77" s="226"/>
      <c r="H77" s="226"/>
      <c r="I77" s="237"/>
      <c r="J7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78" spans="1:10" x14ac:dyDescent="0.35">
      <c r="A78" s="189"/>
      <c r="B78" s="542"/>
      <c r="C78" s="8"/>
      <c r="D78" s="8"/>
      <c r="E78" s="236"/>
      <c r="F78" s="226"/>
      <c r="G78" s="226"/>
      <c r="H78" s="226"/>
      <c r="I78" s="237"/>
      <c r="J7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79" spans="1:10" x14ac:dyDescent="0.35">
      <c r="A79" s="189"/>
      <c r="B79" s="546"/>
      <c r="C79" s="8"/>
      <c r="D79" s="8"/>
      <c r="E79" s="236"/>
      <c r="F79" s="226"/>
      <c r="G79" s="226"/>
      <c r="H79" s="226"/>
      <c r="I79" s="237"/>
      <c r="J7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80" spans="1:10" x14ac:dyDescent="0.35">
      <c r="A80" s="189"/>
      <c r="B80" s="542"/>
      <c r="C80" s="8"/>
      <c r="D80" s="8"/>
      <c r="E80" s="236"/>
      <c r="F80" s="226"/>
      <c r="G80" s="226"/>
      <c r="H80" s="226"/>
      <c r="I80" s="237"/>
      <c r="J8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81" spans="1:10" x14ac:dyDescent="0.35">
      <c r="A81" s="189"/>
      <c r="B81" s="546"/>
      <c r="C81" s="8"/>
      <c r="D81" s="8"/>
      <c r="E81" s="236"/>
      <c r="F81" s="226"/>
      <c r="G81" s="226"/>
      <c r="H81" s="226"/>
      <c r="I81" s="237"/>
      <c r="J8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82" spans="1:10" x14ac:dyDescent="0.35">
      <c r="A82" s="189"/>
      <c r="B82" s="542"/>
      <c r="C82" s="8"/>
      <c r="D82" s="8"/>
      <c r="E82" s="236"/>
      <c r="F82" s="226"/>
      <c r="G82" s="226"/>
      <c r="H82" s="226"/>
      <c r="I82" s="237"/>
      <c r="J8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83" spans="1:10" x14ac:dyDescent="0.35">
      <c r="A83" s="189"/>
      <c r="B83" s="546"/>
      <c r="C83" s="8"/>
      <c r="D83" s="8"/>
      <c r="E83" s="236"/>
      <c r="F83" s="226"/>
      <c r="G83" s="226"/>
      <c r="H83" s="226"/>
      <c r="I83" s="237"/>
      <c r="J8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84" spans="1:10" x14ac:dyDescent="0.35">
      <c r="A84" s="189"/>
      <c r="B84" s="542"/>
      <c r="C84" s="8"/>
      <c r="D84" s="8"/>
      <c r="E84" s="236"/>
      <c r="F84" s="226"/>
      <c r="G84" s="226"/>
      <c r="H84" s="226"/>
      <c r="I84" s="237"/>
      <c r="J8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85" spans="1:10" x14ac:dyDescent="0.35">
      <c r="A85" s="189"/>
      <c r="B85" s="546"/>
      <c r="C85" s="8"/>
      <c r="D85" s="8"/>
      <c r="E85" s="236"/>
      <c r="F85" s="226"/>
      <c r="G85" s="226"/>
      <c r="H85" s="226"/>
      <c r="I85" s="237"/>
      <c r="J8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86" spans="1:10" x14ac:dyDescent="0.35">
      <c r="A86" s="189"/>
      <c r="B86" s="542"/>
      <c r="C86" s="8"/>
      <c r="D86" s="8"/>
      <c r="E86" s="236"/>
      <c r="F86" s="226"/>
      <c r="G86" s="226"/>
      <c r="H86" s="226"/>
      <c r="I86" s="237"/>
      <c r="J8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87" spans="1:10" x14ac:dyDescent="0.35">
      <c r="A87" s="189"/>
      <c r="B87" s="546"/>
      <c r="C87" s="8"/>
      <c r="D87" s="8"/>
      <c r="E87" s="236"/>
      <c r="F87" s="226"/>
      <c r="G87" s="226"/>
      <c r="H87" s="226"/>
      <c r="I87" s="237"/>
      <c r="J8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88" spans="1:10" x14ac:dyDescent="0.35">
      <c r="A88" s="189"/>
      <c r="B88" s="542"/>
      <c r="C88" s="8"/>
      <c r="D88" s="8"/>
      <c r="E88" s="236"/>
      <c r="F88" s="226"/>
      <c r="G88" s="226"/>
      <c r="H88" s="226"/>
      <c r="I88" s="237"/>
      <c r="J8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89" spans="1:10" x14ac:dyDescent="0.35">
      <c r="A89" s="189"/>
      <c r="B89" s="546"/>
      <c r="C89" s="8"/>
      <c r="D89" s="8"/>
      <c r="E89" s="236"/>
      <c r="F89" s="226"/>
      <c r="G89" s="226"/>
      <c r="H89" s="226"/>
      <c r="I89" s="237"/>
      <c r="J8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90" spans="1:10" x14ac:dyDescent="0.35">
      <c r="A90" s="189"/>
      <c r="B90" s="542"/>
      <c r="C90" s="8"/>
      <c r="D90" s="8"/>
      <c r="E90" s="236"/>
      <c r="F90" s="226"/>
      <c r="G90" s="226"/>
      <c r="H90" s="226"/>
      <c r="I90" s="237"/>
      <c r="J9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91" spans="1:10" x14ac:dyDescent="0.35">
      <c r="A91" s="189"/>
      <c r="B91" s="546"/>
      <c r="C91" s="8"/>
      <c r="D91" s="8"/>
      <c r="E91" s="236"/>
      <c r="F91" s="226"/>
      <c r="G91" s="226"/>
      <c r="H91" s="226"/>
      <c r="I91" s="237"/>
      <c r="J9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92" spans="1:10" x14ac:dyDescent="0.35">
      <c r="A92" s="189"/>
      <c r="B92" s="542"/>
      <c r="C92" s="8"/>
      <c r="D92" s="8"/>
      <c r="E92" s="236"/>
      <c r="F92" s="226"/>
      <c r="G92" s="226"/>
      <c r="H92" s="226"/>
      <c r="I92" s="237"/>
      <c r="J9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93" spans="1:10" x14ac:dyDescent="0.35">
      <c r="A93" s="189"/>
      <c r="B93" s="546"/>
      <c r="C93" s="8"/>
      <c r="D93" s="8"/>
      <c r="E93" s="238"/>
      <c r="F93" s="239"/>
      <c r="G93" s="235"/>
      <c r="H93" s="239"/>
      <c r="I93" s="240"/>
      <c r="J9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94" spans="1:10" x14ac:dyDescent="0.35">
      <c r="A94" s="189"/>
      <c r="B94" s="541"/>
      <c r="C94" s="8"/>
      <c r="D94" s="8"/>
      <c r="E94" s="236"/>
      <c r="F94" s="226"/>
      <c r="G94" s="226"/>
      <c r="H94" s="226"/>
      <c r="I94" s="237"/>
      <c r="J9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95" spans="1:10" x14ac:dyDescent="0.35">
      <c r="A95" s="189"/>
      <c r="B95" s="546"/>
      <c r="C95" s="8"/>
      <c r="D95" s="8"/>
      <c r="E95" s="236"/>
      <c r="F95" s="226"/>
      <c r="G95" s="226"/>
      <c r="H95" s="226"/>
      <c r="I95" s="237"/>
      <c r="J9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96" spans="1:10" x14ac:dyDescent="0.35">
      <c r="A96" s="189"/>
      <c r="B96" s="542"/>
      <c r="C96" s="8"/>
      <c r="D96" s="8"/>
      <c r="E96" s="236"/>
      <c r="F96" s="226"/>
      <c r="G96" s="226"/>
      <c r="H96" s="226"/>
      <c r="I96" s="237"/>
      <c r="J9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97" spans="1:10" x14ac:dyDescent="0.35">
      <c r="A97" s="189"/>
      <c r="B97" s="546"/>
      <c r="C97" s="8"/>
      <c r="D97" s="8"/>
      <c r="E97" s="236"/>
      <c r="F97" s="226"/>
      <c r="G97" s="226"/>
      <c r="H97" s="226"/>
      <c r="I97" s="237"/>
      <c r="J9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98" spans="1:10" x14ac:dyDescent="0.35">
      <c r="A98" s="189"/>
      <c r="B98" s="542"/>
      <c r="C98" s="8"/>
      <c r="D98" s="8"/>
      <c r="E98" s="236"/>
      <c r="F98" s="226"/>
      <c r="G98" s="226"/>
      <c r="H98" s="226"/>
      <c r="I98" s="237"/>
      <c r="J9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99" spans="1:10" x14ac:dyDescent="0.35">
      <c r="A99" s="189"/>
      <c r="B99" s="546"/>
      <c r="C99" s="8"/>
      <c r="D99" s="8"/>
      <c r="E99" s="236"/>
      <c r="F99" s="226"/>
      <c r="G99" s="226"/>
      <c r="H99" s="226"/>
      <c r="I99" s="237"/>
      <c r="J9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00" spans="1:10" x14ac:dyDescent="0.35">
      <c r="A100" s="189"/>
      <c r="B100" s="542"/>
      <c r="C100" s="8"/>
      <c r="D100" s="8"/>
      <c r="E100" s="236"/>
      <c r="F100" s="226"/>
      <c r="G100" s="226"/>
      <c r="H100" s="226"/>
      <c r="I100" s="237"/>
      <c r="J10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01" spans="1:10" x14ac:dyDescent="0.35">
      <c r="A101" s="189"/>
      <c r="B101" s="546"/>
      <c r="C101" s="8"/>
      <c r="D101" s="8"/>
      <c r="E101" s="236"/>
      <c r="F101" s="226"/>
      <c r="G101" s="226"/>
      <c r="H101" s="226"/>
      <c r="I101" s="237"/>
      <c r="J10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02" spans="1:10" x14ac:dyDescent="0.35">
      <c r="A102" s="189"/>
      <c r="B102" s="542"/>
      <c r="C102" s="8"/>
      <c r="D102" s="8"/>
      <c r="E102" s="236"/>
      <c r="F102" s="226"/>
      <c r="G102" s="226"/>
      <c r="H102" s="226"/>
      <c r="I102" s="237"/>
      <c r="J10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03" spans="1:10" x14ac:dyDescent="0.35">
      <c r="A103" s="189"/>
      <c r="B103" s="546"/>
      <c r="C103" s="8"/>
      <c r="D103" s="8"/>
      <c r="E103" s="236"/>
      <c r="F103" s="226"/>
      <c r="G103" s="226"/>
      <c r="H103" s="226"/>
      <c r="I103" s="237"/>
      <c r="J10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04" spans="1:10" x14ac:dyDescent="0.35">
      <c r="A104" s="189"/>
      <c r="B104" s="542"/>
      <c r="C104" s="8"/>
      <c r="D104" s="8"/>
      <c r="E104" s="236"/>
      <c r="F104" s="226"/>
      <c r="G104" s="226"/>
      <c r="H104" s="226"/>
      <c r="I104" s="237"/>
      <c r="J10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05" spans="1:10" x14ac:dyDescent="0.35">
      <c r="A105" s="189"/>
      <c r="B105" s="546"/>
      <c r="C105" s="8"/>
      <c r="D105" s="8"/>
      <c r="E105" s="236"/>
      <c r="F105" s="226"/>
      <c r="G105" s="226"/>
      <c r="H105" s="226"/>
      <c r="I105" s="237"/>
      <c r="J10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06" spans="1:10" x14ac:dyDescent="0.35">
      <c r="A106" s="189"/>
      <c r="B106" s="542"/>
      <c r="C106" s="8"/>
      <c r="D106" s="8"/>
      <c r="E106" s="236"/>
      <c r="F106" s="226"/>
      <c r="G106" s="226"/>
      <c r="H106" s="226"/>
      <c r="I106" s="237"/>
      <c r="J10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07" spans="1:10" x14ac:dyDescent="0.35">
      <c r="A107" s="189"/>
      <c r="B107" s="546"/>
      <c r="C107" s="8"/>
      <c r="D107" s="8"/>
      <c r="E107" s="236"/>
      <c r="F107" s="226"/>
      <c r="G107" s="226"/>
      <c r="H107" s="226"/>
      <c r="I107" s="237"/>
      <c r="J10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08" spans="1:10" x14ac:dyDescent="0.35">
      <c r="A108" s="189"/>
      <c r="B108" s="542"/>
      <c r="C108" s="8"/>
      <c r="D108" s="8"/>
      <c r="E108" s="236"/>
      <c r="F108" s="226"/>
      <c r="G108" s="226"/>
      <c r="H108" s="226"/>
      <c r="I108" s="237"/>
      <c r="J10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09" spans="1:10" x14ac:dyDescent="0.35">
      <c r="A109" s="189"/>
      <c r="B109" s="546"/>
      <c r="C109" s="8"/>
      <c r="D109" s="8"/>
      <c r="E109" s="236"/>
      <c r="F109" s="226"/>
      <c r="G109" s="226"/>
      <c r="H109" s="226"/>
      <c r="I109" s="237"/>
      <c r="J10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10" spans="1:10" x14ac:dyDescent="0.35">
      <c r="A110" s="189"/>
      <c r="B110" s="542"/>
      <c r="C110" s="8"/>
      <c r="D110" s="8"/>
      <c r="E110" s="238"/>
      <c r="F110" s="239"/>
      <c r="G110" s="235"/>
      <c r="H110" s="239"/>
      <c r="I110" s="240"/>
      <c r="J11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11" spans="1:10" x14ac:dyDescent="0.35">
      <c r="A111" s="189"/>
      <c r="B111" s="547"/>
      <c r="C111" s="8"/>
      <c r="D111" s="8"/>
      <c r="E111" s="236"/>
      <c r="F111" s="226"/>
      <c r="G111" s="226"/>
      <c r="H111" s="226"/>
      <c r="I111" s="237"/>
      <c r="J11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12" spans="1:10" x14ac:dyDescent="0.35">
      <c r="A112" s="189"/>
      <c r="B112" s="542"/>
      <c r="C112" s="8"/>
      <c r="D112" s="8"/>
      <c r="E112" s="236"/>
      <c r="F112" s="226"/>
      <c r="G112" s="226"/>
      <c r="H112" s="226"/>
      <c r="I112" s="237"/>
      <c r="J11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13" spans="1:10" x14ac:dyDescent="0.35">
      <c r="A113" s="189"/>
      <c r="B113" s="546"/>
      <c r="C113" s="8"/>
      <c r="D113" s="8"/>
      <c r="E113" s="236"/>
      <c r="F113" s="226"/>
      <c r="G113" s="226"/>
      <c r="H113" s="226"/>
      <c r="I113" s="237"/>
      <c r="J11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14" spans="1:10" x14ac:dyDescent="0.35">
      <c r="A114" s="189"/>
      <c r="B114" s="542"/>
      <c r="C114" s="8"/>
      <c r="D114" s="8"/>
      <c r="E114" s="236"/>
      <c r="F114" s="226"/>
      <c r="G114" s="226"/>
      <c r="H114" s="226"/>
      <c r="I114" s="237"/>
      <c r="J11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15" spans="1:10" x14ac:dyDescent="0.35">
      <c r="A115" s="189"/>
      <c r="B115" s="546"/>
      <c r="C115" s="8"/>
      <c r="D115" s="8"/>
      <c r="E115" s="236"/>
      <c r="F115" s="226"/>
      <c r="G115" s="226"/>
      <c r="H115" s="226"/>
      <c r="I115" s="237"/>
      <c r="J11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16" spans="1:10" x14ac:dyDescent="0.35">
      <c r="A116" s="189"/>
      <c r="B116" s="542"/>
      <c r="C116" s="8"/>
      <c r="D116" s="8"/>
      <c r="E116" s="236"/>
      <c r="F116" s="226"/>
      <c r="G116" s="226"/>
      <c r="H116" s="226"/>
      <c r="I116" s="237"/>
      <c r="J11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17" spans="1:10" x14ac:dyDescent="0.35">
      <c r="A117" s="189"/>
      <c r="B117" s="546"/>
      <c r="C117" s="8"/>
      <c r="D117" s="8"/>
      <c r="E117" s="236"/>
      <c r="F117" s="226"/>
      <c r="G117" s="226"/>
      <c r="H117" s="226"/>
      <c r="I117" s="237"/>
      <c r="J11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18" spans="1:10" x14ac:dyDescent="0.35">
      <c r="A118" s="189"/>
      <c r="B118" s="542"/>
      <c r="C118" s="8"/>
      <c r="D118" s="8"/>
      <c r="E118" s="236"/>
      <c r="F118" s="226"/>
      <c r="G118" s="226"/>
      <c r="H118" s="226"/>
      <c r="I118" s="237"/>
      <c r="J11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19" spans="1:10" x14ac:dyDescent="0.35">
      <c r="A119" s="189"/>
      <c r="B119" s="546"/>
      <c r="C119" s="8"/>
      <c r="D119" s="8"/>
      <c r="E119" s="236"/>
      <c r="F119" s="226"/>
      <c r="G119" s="226"/>
      <c r="H119" s="226"/>
      <c r="I119" s="237"/>
      <c r="J11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20" spans="1:10" x14ac:dyDescent="0.35">
      <c r="A120" s="189"/>
      <c r="B120" s="542"/>
      <c r="C120" s="8"/>
      <c r="D120" s="8"/>
      <c r="E120" s="236"/>
      <c r="F120" s="226"/>
      <c r="G120" s="226"/>
      <c r="H120" s="226"/>
      <c r="I120" s="237"/>
      <c r="J12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21" spans="1:10" x14ac:dyDescent="0.35">
      <c r="A121" s="189"/>
      <c r="B121" s="546"/>
      <c r="C121" s="8"/>
      <c r="D121" s="8"/>
      <c r="E121" s="236"/>
      <c r="F121" s="226"/>
      <c r="G121" s="226"/>
      <c r="H121" s="226"/>
      <c r="I121" s="237"/>
      <c r="J12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22" spans="1:10" x14ac:dyDescent="0.35">
      <c r="A122" s="189"/>
      <c r="B122" s="542"/>
      <c r="C122" s="8"/>
      <c r="D122" s="8"/>
      <c r="E122" s="236"/>
      <c r="F122" s="226"/>
      <c r="G122" s="226"/>
      <c r="H122" s="226"/>
      <c r="I122" s="237"/>
      <c r="J12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23" spans="1:10" x14ac:dyDescent="0.35">
      <c r="A123" s="189"/>
      <c r="B123" s="546"/>
      <c r="C123" s="8"/>
      <c r="D123" s="8"/>
      <c r="E123" s="236"/>
      <c r="F123" s="226"/>
      <c r="G123" s="226"/>
      <c r="H123" s="226"/>
      <c r="I123" s="237"/>
      <c r="J12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24" spans="1:10" x14ac:dyDescent="0.35">
      <c r="A124" s="189"/>
      <c r="B124" s="542"/>
      <c r="C124" s="8"/>
      <c r="D124" s="8"/>
      <c r="E124" s="236"/>
      <c r="F124" s="226"/>
      <c r="G124" s="226"/>
      <c r="H124" s="226"/>
      <c r="I124" s="237"/>
      <c r="J12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25" spans="1:10" x14ac:dyDescent="0.35">
      <c r="A125" s="189"/>
      <c r="B125" s="546"/>
      <c r="C125" s="8"/>
      <c r="D125" s="8"/>
      <c r="E125" s="236"/>
      <c r="F125" s="226"/>
      <c r="G125" s="226"/>
      <c r="H125" s="226"/>
      <c r="I125" s="237"/>
      <c r="J12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26" spans="1:10" x14ac:dyDescent="0.35">
      <c r="A126" s="189"/>
      <c r="B126" s="542"/>
      <c r="C126" s="8"/>
      <c r="D126" s="8"/>
      <c r="E126" s="236"/>
      <c r="F126" s="226"/>
      <c r="G126" s="226"/>
      <c r="H126" s="226"/>
      <c r="I126" s="237"/>
      <c r="J12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27" spans="1:10" x14ac:dyDescent="0.35">
      <c r="A127" s="189"/>
      <c r="B127" s="546"/>
      <c r="C127" s="8"/>
      <c r="D127" s="8"/>
      <c r="E127" s="238"/>
      <c r="F127" s="239"/>
      <c r="G127" s="235"/>
      <c r="H127" s="239"/>
      <c r="I127" s="240"/>
      <c r="J12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28" spans="1:10" x14ac:dyDescent="0.35">
      <c r="A128" s="189"/>
      <c r="B128" s="541"/>
      <c r="C128" s="8"/>
      <c r="D128" s="8"/>
      <c r="E128" s="236"/>
      <c r="F128" s="226"/>
      <c r="G128" s="226"/>
      <c r="H128" s="226"/>
      <c r="I128" s="237"/>
      <c r="J12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29" spans="1:10" x14ac:dyDescent="0.35">
      <c r="A129" s="189"/>
      <c r="B129" s="542"/>
      <c r="C129" s="8"/>
      <c r="D129" s="8"/>
      <c r="E129" s="236"/>
      <c r="F129" s="226"/>
      <c r="G129" s="226"/>
      <c r="H129" s="226"/>
      <c r="I129" s="237"/>
      <c r="J12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30" spans="1:10" x14ac:dyDescent="0.35">
      <c r="A130" s="189"/>
      <c r="B130" s="542"/>
      <c r="C130" s="8"/>
      <c r="D130" s="8"/>
      <c r="E130" s="236"/>
      <c r="F130" s="226"/>
      <c r="G130" s="226"/>
      <c r="H130" s="226"/>
      <c r="I130" s="237"/>
      <c r="J13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31" spans="1:10" x14ac:dyDescent="0.35">
      <c r="A131" s="189"/>
      <c r="B131" s="542"/>
      <c r="C131" s="8"/>
      <c r="D131" s="8"/>
      <c r="E131" s="236"/>
      <c r="F131" s="226"/>
      <c r="G131" s="226"/>
      <c r="H131" s="226"/>
      <c r="I131" s="237"/>
      <c r="J13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32" spans="1:10" x14ac:dyDescent="0.35">
      <c r="A132" s="189"/>
      <c r="B132" s="542"/>
      <c r="C132" s="8"/>
      <c r="D132" s="8"/>
      <c r="E132" s="236"/>
      <c r="F132" s="226"/>
      <c r="G132" s="226"/>
      <c r="H132" s="226"/>
      <c r="I132" s="237"/>
      <c r="J13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33" spans="1:10" x14ac:dyDescent="0.35">
      <c r="A133" s="189"/>
      <c r="B133" s="542"/>
      <c r="C133" s="8"/>
      <c r="D133" s="8"/>
      <c r="E133" s="236"/>
      <c r="F133" s="226"/>
      <c r="G133" s="226"/>
      <c r="H133" s="226"/>
      <c r="I133" s="237"/>
      <c r="J13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34" spans="1:10" x14ac:dyDescent="0.35">
      <c r="A134" s="189"/>
      <c r="B134" s="542"/>
      <c r="C134" s="8"/>
      <c r="D134" s="8"/>
      <c r="E134" s="236"/>
      <c r="F134" s="226"/>
      <c r="G134" s="226"/>
      <c r="H134" s="226"/>
      <c r="I134" s="237"/>
      <c r="J13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35" spans="1:10" x14ac:dyDescent="0.35">
      <c r="A135" s="189"/>
      <c r="B135" s="542"/>
      <c r="C135" s="8"/>
      <c r="D135" s="8"/>
      <c r="E135" s="236"/>
      <c r="F135" s="226"/>
      <c r="G135" s="226"/>
      <c r="H135" s="226"/>
      <c r="I135" s="237"/>
      <c r="J13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36" spans="1:10" x14ac:dyDescent="0.35">
      <c r="A136" s="189"/>
      <c r="B136" s="542"/>
      <c r="C136" s="8"/>
      <c r="D136" s="8"/>
      <c r="E136" s="236"/>
      <c r="F136" s="226"/>
      <c r="G136" s="226"/>
      <c r="H136" s="226"/>
      <c r="I136" s="237"/>
      <c r="J13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37" spans="1:10" x14ac:dyDescent="0.35">
      <c r="A137" s="189"/>
      <c r="B137" s="542"/>
      <c r="C137" s="8"/>
      <c r="D137" s="8"/>
      <c r="E137" s="238"/>
      <c r="F137" s="239"/>
      <c r="G137" s="235"/>
      <c r="H137" s="239"/>
      <c r="I137" s="240"/>
      <c r="J13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38" spans="1:10" x14ac:dyDescent="0.35">
      <c r="A138" s="189"/>
      <c r="B138" s="541"/>
      <c r="C138" s="8"/>
      <c r="D138" s="8"/>
      <c r="E138" s="236"/>
      <c r="F138" s="226"/>
      <c r="G138" s="226"/>
      <c r="H138" s="226"/>
      <c r="I138" s="237"/>
      <c r="J13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39" spans="1:10" x14ac:dyDescent="0.35">
      <c r="A139" s="189"/>
      <c r="B139" s="542"/>
      <c r="C139" s="8"/>
      <c r="D139" s="8"/>
      <c r="E139" s="236"/>
      <c r="F139" s="226"/>
      <c r="G139" s="226"/>
      <c r="H139" s="226"/>
      <c r="I139" s="237"/>
      <c r="J13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40" spans="1:10" x14ac:dyDescent="0.35">
      <c r="A140" s="189"/>
      <c r="B140" s="542"/>
      <c r="C140" s="8"/>
      <c r="D140" s="8"/>
      <c r="E140" s="236"/>
      <c r="F140" s="226"/>
      <c r="G140" s="226"/>
      <c r="H140" s="226"/>
      <c r="I140" s="237"/>
      <c r="J14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41" spans="1:10" x14ac:dyDescent="0.35">
      <c r="A141" s="189"/>
      <c r="B141" s="542"/>
      <c r="C141" s="8"/>
      <c r="D141" s="8"/>
      <c r="E141" s="236"/>
      <c r="F141" s="226"/>
      <c r="G141" s="226"/>
      <c r="H141" s="226"/>
      <c r="I141" s="237"/>
      <c r="J14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42" spans="1:10" x14ac:dyDescent="0.35">
      <c r="A142" s="189"/>
      <c r="B142" s="542"/>
      <c r="C142" s="8"/>
      <c r="D142" s="8"/>
      <c r="E142" s="236"/>
      <c r="F142" s="226"/>
      <c r="G142" s="226"/>
      <c r="H142" s="226"/>
      <c r="I142" s="237"/>
      <c r="J14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43" spans="1:10" x14ac:dyDescent="0.35">
      <c r="A143" s="189"/>
      <c r="B143" s="542"/>
      <c r="C143" s="8"/>
      <c r="D143" s="8"/>
      <c r="E143" s="236"/>
      <c r="F143" s="226"/>
      <c r="G143" s="226"/>
      <c r="H143" s="226"/>
      <c r="I143" s="237"/>
      <c r="J14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44" spans="1:10" x14ac:dyDescent="0.35">
      <c r="A144" s="189"/>
      <c r="B144" s="542"/>
      <c r="C144" s="8"/>
      <c r="D144" s="8"/>
      <c r="E144" s="236"/>
      <c r="F144" s="226"/>
      <c r="G144" s="226"/>
      <c r="H144" s="226"/>
      <c r="I144" s="237"/>
      <c r="J14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45" spans="1:10" x14ac:dyDescent="0.35">
      <c r="A145" s="189"/>
      <c r="B145" s="542"/>
      <c r="C145" s="8"/>
      <c r="D145" s="8"/>
      <c r="E145" s="236"/>
      <c r="F145" s="226"/>
      <c r="G145" s="226"/>
      <c r="H145" s="226"/>
      <c r="I145" s="237"/>
      <c r="J14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46" spans="1:10" x14ac:dyDescent="0.35">
      <c r="A146" s="189"/>
      <c r="B146" s="542"/>
      <c r="C146" s="8"/>
      <c r="D146" s="8"/>
      <c r="E146" s="236"/>
      <c r="F146" s="226"/>
      <c r="G146" s="226"/>
      <c r="H146" s="226"/>
      <c r="I146" s="237"/>
      <c r="J14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47" spans="1:10" x14ac:dyDescent="0.35">
      <c r="A147" s="189"/>
      <c r="B147" s="542"/>
      <c r="C147" s="8"/>
      <c r="D147" s="8"/>
      <c r="E147" s="236"/>
      <c r="F147" s="226"/>
      <c r="G147" s="226"/>
      <c r="H147" s="226"/>
      <c r="I147" s="237"/>
      <c r="J14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48" spans="1:10" x14ac:dyDescent="0.35">
      <c r="A148" s="189"/>
      <c r="B148" s="542"/>
      <c r="C148" s="8"/>
      <c r="D148" s="8"/>
      <c r="E148" s="236"/>
      <c r="F148" s="226"/>
      <c r="G148" s="226"/>
      <c r="H148" s="226"/>
      <c r="I148" s="237"/>
      <c r="J14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49" spans="1:10" x14ac:dyDescent="0.35">
      <c r="A149" s="189"/>
      <c r="B149" s="542"/>
      <c r="C149" s="8"/>
      <c r="D149" s="8"/>
      <c r="E149" s="236"/>
      <c r="F149" s="226"/>
      <c r="G149" s="226"/>
      <c r="H149" s="226"/>
      <c r="I149" s="237"/>
      <c r="J14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50" spans="1:10" x14ac:dyDescent="0.35">
      <c r="A150" s="189"/>
      <c r="B150" s="542"/>
      <c r="C150" s="8"/>
      <c r="D150" s="8"/>
      <c r="E150" s="236"/>
      <c r="F150" s="226"/>
      <c r="G150" s="226"/>
      <c r="H150" s="226"/>
      <c r="I150" s="237"/>
      <c r="J15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51" spans="1:10" x14ac:dyDescent="0.35">
      <c r="A151" s="189"/>
      <c r="B151" s="542"/>
      <c r="C151" s="8"/>
      <c r="D151" s="8"/>
      <c r="E151" s="236"/>
      <c r="F151" s="226"/>
      <c r="G151" s="226"/>
      <c r="H151" s="226"/>
      <c r="I151" s="237"/>
      <c r="J15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52" spans="1:10" x14ac:dyDescent="0.35">
      <c r="A152" s="189"/>
      <c r="B152" s="542"/>
      <c r="C152" s="8"/>
      <c r="D152" s="8"/>
      <c r="E152" s="236"/>
      <c r="F152" s="226"/>
      <c r="G152" s="226"/>
      <c r="H152" s="226"/>
      <c r="I152" s="237"/>
      <c r="J15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53" spans="1:10" x14ac:dyDescent="0.35">
      <c r="A153" s="189"/>
      <c r="B153" s="542"/>
      <c r="C153" s="8"/>
      <c r="D153" s="8"/>
      <c r="E153" s="236"/>
      <c r="F153" s="226"/>
      <c r="G153" s="226"/>
      <c r="H153" s="226"/>
      <c r="I153" s="237"/>
      <c r="J15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54" spans="1:10" x14ac:dyDescent="0.35">
      <c r="A154" s="189"/>
      <c r="B154" s="542"/>
      <c r="C154" s="8"/>
      <c r="D154" s="8"/>
      <c r="E154" s="238"/>
      <c r="F154" s="239"/>
      <c r="G154" s="235"/>
      <c r="H154" s="239"/>
      <c r="I154" s="240"/>
      <c r="J15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55" spans="1:10" x14ac:dyDescent="0.35">
      <c r="A155" s="189"/>
      <c r="B155" s="541"/>
      <c r="C155" s="8"/>
      <c r="D155" s="8"/>
      <c r="E155" s="236"/>
      <c r="F155" s="226"/>
      <c r="G155" s="226"/>
      <c r="H155" s="226"/>
      <c r="I155" s="237"/>
      <c r="J15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56" spans="1:10" x14ac:dyDescent="0.35">
      <c r="A156" s="189"/>
      <c r="B156" s="542"/>
      <c r="C156" s="8"/>
      <c r="D156" s="8"/>
      <c r="E156" s="236"/>
      <c r="F156" s="226"/>
      <c r="G156" s="226"/>
      <c r="H156" s="226"/>
      <c r="I156" s="237"/>
      <c r="J15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57" spans="1:10" x14ac:dyDescent="0.35">
      <c r="A157" s="189"/>
      <c r="B157" s="542"/>
      <c r="C157" s="8"/>
      <c r="D157" s="8"/>
      <c r="E157" s="236"/>
      <c r="F157" s="226"/>
      <c r="G157" s="226"/>
      <c r="H157" s="226"/>
      <c r="I157" s="237"/>
      <c r="J15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58" spans="1:10" x14ac:dyDescent="0.35">
      <c r="A158" s="189"/>
      <c r="B158" s="542"/>
      <c r="C158" s="8"/>
      <c r="D158" s="8"/>
      <c r="E158" s="236"/>
      <c r="F158" s="226"/>
      <c r="G158" s="226"/>
      <c r="H158" s="226"/>
      <c r="I158" s="237"/>
      <c r="J15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59" spans="1:10" x14ac:dyDescent="0.35">
      <c r="A159" s="189"/>
      <c r="B159" s="542"/>
      <c r="C159" s="8"/>
      <c r="D159" s="8"/>
      <c r="E159" s="236"/>
      <c r="F159" s="226"/>
      <c r="G159" s="226"/>
      <c r="H159" s="226"/>
      <c r="I159" s="237"/>
      <c r="J15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60" spans="1:10" x14ac:dyDescent="0.35">
      <c r="A160" s="189"/>
      <c r="B160" s="542"/>
      <c r="C160" s="8"/>
      <c r="D160" s="8"/>
      <c r="E160" s="236"/>
      <c r="F160" s="226"/>
      <c r="G160" s="226"/>
      <c r="H160" s="226"/>
      <c r="I160" s="237"/>
      <c r="J16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61" spans="1:10" x14ac:dyDescent="0.35">
      <c r="A161" s="189"/>
      <c r="B161" s="542"/>
      <c r="C161" s="8"/>
      <c r="D161" s="8"/>
      <c r="E161" s="236"/>
      <c r="F161" s="226"/>
      <c r="G161" s="226"/>
      <c r="H161" s="226"/>
      <c r="I161" s="237"/>
      <c r="J16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62" spans="1:10" x14ac:dyDescent="0.35">
      <c r="A162" s="189"/>
      <c r="B162" s="542"/>
      <c r="C162" s="8"/>
      <c r="D162" s="8"/>
      <c r="E162" s="236"/>
      <c r="F162" s="226"/>
      <c r="G162" s="226"/>
      <c r="H162" s="226"/>
      <c r="I162" s="237"/>
      <c r="J16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63" spans="1:10" x14ac:dyDescent="0.35">
      <c r="A163" s="189"/>
      <c r="B163" s="542"/>
      <c r="C163" s="8"/>
      <c r="D163" s="8"/>
      <c r="E163" s="236"/>
      <c r="F163" s="226"/>
      <c r="G163" s="226"/>
      <c r="H163" s="226"/>
      <c r="I163" s="237"/>
      <c r="J16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64" spans="1:10" x14ac:dyDescent="0.35">
      <c r="A164" s="189"/>
      <c r="B164" s="542"/>
      <c r="C164" s="8"/>
      <c r="D164" s="8"/>
      <c r="E164" s="236"/>
      <c r="F164" s="226"/>
      <c r="G164" s="226"/>
      <c r="H164" s="226"/>
      <c r="I164" s="237"/>
      <c r="J16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65" spans="1:10" x14ac:dyDescent="0.35">
      <c r="A165" s="189"/>
      <c r="B165" s="542"/>
      <c r="C165" s="8"/>
      <c r="D165" s="8"/>
      <c r="E165" s="236"/>
      <c r="F165" s="226"/>
      <c r="G165" s="226"/>
      <c r="H165" s="226"/>
      <c r="I165" s="237"/>
      <c r="J16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66" spans="1:10" x14ac:dyDescent="0.35">
      <c r="A166" s="189"/>
      <c r="B166" s="542"/>
      <c r="C166" s="8"/>
      <c r="D166" s="8"/>
      <c r="E166" s="236"/>
      <c r="F166" s="226"/>
      <c r="G166" s="226"/>
      <c r="H166" s="226"/>
      <c r="I166" s="237"/>
      <c r="J16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67" spans="1:10" x14ac:dyDescent="0.35">
      <c r="A167" s="189"/>
      <c r="B167" s="542"/>
      <c r="C167" s="8"/>
      <c r="D167" s="8"/>
      <c r="E167" s="236"/>
      <c r="F167" s="226"/>
      <c r="G167" s="226"/>
      <c r="H167" s="226"/>
      <c r="I167" s="237"/>
      <c r="J16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68" spans="1:10" x14ac:dyDescent="0.35">
      <c r="A168" s="189"/>
      <c r="B168" s="542"/>
      <c r="C168" s="8"/>
      <c r="D168" s="8"/>
      <c r="E168" s="236"/>
      <c r="F168" s="226"/>
      <c r="G168" s="226"/>
      <c r="H168" s="226"/>
      <c r="I168" s="237"/>
      <c r="J16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69" spans="1:10" x14ac:dyDescent="0.35">
      <c r="A169" s="189"/>
      <c r="B169" s="542"/>
      <c r="C169" s="8"/>
      <c r="D169" s="8"/>
      <c r="E169" s="236"/>
      <c r="F169" s="226"/>
      <c r="G169" s="226"/>
      <c r="H169" s="226"/>
      <c r="I169" s="237"/>
      <c r="J16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70" spans="1:10" x14ac:dyDescent="0.35">
      <c r="A170" s="189"/>
      <c r="B170" s="542"/>
      <c r="C170" s="8"/>
      <c r="D170" s="8"/>
      <c r="E170" s="238"/>
      <c r="F170" s="239"/>
      <c r="G170" s="235"/>
      <c r="H170" s="239"/>
      <c r="I170" s="240"/>
      <c r="J17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71" spans="1:10" x14ac:dyDescent="0.35">
      <c r="A171" s="189"/>
      <c r="B171" s="541"/>
      <c r="C171" s="8"/>
      <c r="D171" s="8"/>
      <c r="E171" s="236"/>
      <c r="F171" s="226"/>
      <c r="G171" s="226"/>
      <c r="H171" s="226"/>
      <c r="I171" s="237"/>
      <c r="J17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72" spans="1:10" x14ac:dyDescent="0.35">
      <c r="A172" s="189"/>
      <c r="B172" s="542"/>
      <c r="C172" s="8"/>
      <c r="D172" s="8"/>
      <c r="E172" s="236"/>
      <c r="F172" s="226"/>
      <c r="G172" s="226"/>
      <c r="H172" s="226"/>
      <c r="I172" s="237"/>
      <c r="J17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73" spans="1:10" x14ac:dyDescent="0.35">
      <c r="A173" s="189"/>
      <c r="B173" s="542"/>
      <c r="C173" s="8"/>
      <c r="D173" s="8"/>
      <c r="E173" s="236"/>
      <c r="F173" s="226"/>
      <c r="G173" s="226"/>
      <c r="H173" s="226"/>
      <c r="I173" s="237"/>
      <c r="J17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74" spans="1:10" x14ac:dyDescent="0.35">
      <c r="A174" s="189"/>
      <c r="B174" s="542"/>
      <c r="C174" s="8"/>
      <c r="D174" s="8"/>
      <c r="E174" s="236"/>
      <c r="F174" s="226"/>
      <c r="G174" s="226"/>
      <c r="H174" s="226"/>
      <c r="I174" s="237"/>
      <c r="J17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75" spans="1:10" x14ac:dyDescent="0.35">
      <c r="A175" s="189"/>
      <c r="B175" s="542"/>
      <c r="C175" s="8"/>
      <c r="D175" s="8"/>
      <c r="E175" s="236"/>
      <c r="F175" s="226"/>
      <c r="G175" s="226"/>
      <c r="H175" s="226"/>
      <c r="I175" s="237"/>
      <c r="J17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76" spans="1:10" x14ac:dyDescent="0.35">
      <c r="A176" s="189"/>
      <c r="B176" s="542"/>
      <c r="C176" s="8"/>
      <c r="D176" s="8"/>
      <c r="E176" s="236"/>
      <c r="F176" s="226"/>
      <c r="G176" s="226"/>
      <c r="H176" s="226"/>
      <c r="I176" s="237"/>
      <c r="J17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77" spans="1:10" x14ac:dyDescent="0.35">
      <c r="A177" s="525"/>
      <c r="B177" s="543"/>
      <c r="C177" s="526"/>
      <c r="D177" s="526"/>
      <c r="E177" s="527"/>
      <c r="F177" s="528"/>
      <c r="G177" s="528"/>
      <c r="H177" s="528"/>
      <c r="I177" s="530"/>
      <c r="J17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78" spans="1:10" x14ac:dyDescent="0.35">
      <c r="A178" s="525"/>
      <c r="B178" s="543"/>
      <c r="C178" s="526"/>
      <c r="D178" s="526"/>
      <c r="E178" s="527"/>
      <c r="F178" s="528"/>
      <c r="G178" s="528"/>
      <c r="H178" s="528"/>
      <c r="I178" s="530"/>
      <c r="J17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79" spans="1:10" x14ac:dyDescent="0.35">
      <c r="A179" s="525"/>
      <c r="B179" s="543"/>
      <c r="C179" s="526"/>
      <c r="D179" s="526"/>
      <c r="E179" s="527"/>
      <c r="F179" s="528"/>
      <c r="G179" s="528"/>
      <c r="H179" s="528"/>
      <c r="I179" s="530"/>
      <c r="J17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80" spans="1:10" x14ac:dyDescent="0.35">
      <c r="A180" s="525"/>
      <c r="B180" s="543"/>
      <c r="C180" s="526"/>
      <c r="D180" s="526"/>
      <c r="E180" s="527"/>
      <c r="F180" s="528"/>
      <c r="G180" s="528"/>
      <c r="H180" s="528"/>
      <c r="I180" s="530"/>
      <c r="J18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81" spans="1:10" x14ac:dyDescent="0.35">
      <c r="A181" s="525"/>
      <c r="B181" s="543"/>
      <c r="C181" s="526"/>
      <c r="D181" s="526"/>
      <c r="E181" s="531"/>
      <c r="F181" s="532"/>
      <c r="G181" s="531"/>
      <c r="H181" s="532"/>
      <c r="I181" s="534"/>
      <c r="J18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82" spans="1:10" x14ac:dyDescent="0.35">
      <c r="A182" s="525"/>
      <c r="B182" s="543"/>
      <c r="C182" s="526"/>
      <c r="D182" s="526"/>
      <c r="E182" s="527"/>
      <c r="F182" s="528"/>
      <c r="G182" s="528"/>
      <c r="H182" s="528"/>
      <c r="I182" s="530"/>
      <c r="J18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83" spans="1:10" x14ac:dyDescent="0.35">
      <c r="A183" s="525"/>
      <c r="B183" s="543"/>
      <c r="C183" s="526"/>
      <c r="D183" s="526"/>
      <c r="E183" s="527"/>
      <c r="F183" s="528"/>
      <c r="G183" s="528"/>
      <c r="H183" s="528"/>
      <c r="I183" s="530"/>
      <c r="J18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84" spans="1:10" x14ac:dyDescent="0.35">
      <c r="A184" s="525"/>
      <c r="B184" s="543"/>
      <c r="C184" s="526"/>
      <c r="D184" s="526"/>
      <c r="E184" s="527"/>
      <c r="F184" s="528"/>
      <c r="G184" s="528"/>
      <c r="H184" s="528"/>
      <c r="I184" s="530"/>
      <c r="J18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85" spans="1:10" x14ac:dyDescent="0.35">
      <c r="A185" s="525"/>
      <c r="B185" s="543"/>
      <c r="C185" s="526"/>
      <c r="D185" s="526"/>
      <c r="E185" s="527"/>
      <c r="F185" s="528"/>
      <c r="G185" s="528"/>
      <c r="H185" s="528"/>
      <c r="I185" s="530"/>
      <c r="J18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86" spans="1:10" x14ac:dyDescent="0.35">
      <c r="A186" s="525"/>
      <c r="B186" s="543"/>
      <c r="C186" s="526"/>
      <c r="D186" s="526"/>
      <c r="E186" s="527"/>
      <c r="F186" s="528"/>
      <c r="G186" s="528"/>
      <c r="H186" s="528"/>
      <c r="I186" s="530"/>
      <c r="J18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87" spans="1:10" x14ac:dyDescent="0.35">
      <c r="A187" s="525"/>
      <c r="B187" s="543"/>
      <c r="C187" s="526"/>
      <c r="D187" s="526"/>
      <c r="E187" s="527"/>
      <c r="F187" s="528"/>
      <c r="G187" s="528"/>
      <c r="H187" s="528"/>
      <c r="I187" s="530"/>
      <c r="J18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88" spans="1:10" x14ac:dyDescent="0.35">
      <c r="A188" s="525"/>
      <c r="B188" s="543"/>
      <c r="C188" s="526"/>
      <c r="D188" s="526"/>
      <c r="E188" s="527"/>
      <c r="F188" s="528"/>
      <c r="G188" s="528"/>
      <c r="H188" s="528"/>
      <c r="I188" s="530"/>
      <c r="J18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89" spans="1:10" x14ac:dyDescent="0.35">
      <c r="A189" s="525"/>
      <c r="B189" s="543"/>
      <c r="C189" s="526"/>
      <c r="D189" s="526"/>
      <c r="E189" s="527"/>
      <c r="F189" s="528"/>
      <c r="G189" s="528"/>
      <c r="H189" s="528"/>
      <c r="I189" s="530"/>
      <c r="J18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90" spans="1:10" x14ac:dyDescent="0.35">
      <c r="A190" s="525"/>
      <c r="B190" s="543"/>
      <c r="C190" s="526"/>
      <c r="D190" s="526"/>
      <c r="E190" s="527"/>
      <c r="F190" s="528"/>
      <c r="G190" s="528"/>
      <c r="H190" s="528"/>
      <c r="I190" s="530"/>
      <c r="J19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91" spans="1:10" x14ac:dyDescent="0.35">
      <c r="A191" s="525"/>
      <c r="B191" s="543"/>
      <c r="C191" s="526"/>
      <c r="D191" s="526"/>
      <c r="E191" s="527"/>
      <c r="F191" s="528"/>
      <c r="G191" s="528"/>
      <c r="H191" s="528"/>
      <c r="I191" s="530"/>
      <c r="J19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92" spans="1:10" x14ac:dyDescent="0.35">
      <c r="A192" s="525"/>
      <c r="B192" s="543"/>
      <c r="C192" s="526"/>
      <c r="D192" s="526"/>
      <c r="E192" s="527"/>
      <c r="F192" s="528"/>
      <c r="G192" s="528"/>
      <c r="H192" s="528"/>
      <c r="I192" s="530"/>
      <c r="J19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93" spans="1:10" x14ac:dyDescent="0.35">
      <c r="A193" s="525"/>
      <c r="B193" s="543"/>
      <c r="C193" s="526"/>
      <c r="D193" s="526"/>
      <c r="E193" s="527"/>
      <c r="F193" s="528"/>
      <c r="G193" s="528"/>
      <c r="H193" s="528"/>
      <c r="I193" s="530"/>
      <c r="J19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94" spans="1:10" x14ac:dyDescent="0.35">
      <c r="A194" s="525"/>
      <c r="B194" s="543"/>
      <c r="C194" s="526"/>
      <c r="D194" s="526"/>
      <c r="E194" s="527"/>
      <c r="F194" s="528"/>
      <c r="G194" s="528"/>
      <c r="H194" s="528"/>
      <c r="I194" s="530"/>
      <c r="J19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95" spans="1:10" x14ac:dyDescent="0.35">
      <c r="A195" s="525"/>
      <c r="B195" s="543"/>
      <c r="C195" s="526"/>
      <c r="D195" s="526"/>
      <c r="E195" s="527"/>
      <c r="F195" s="528"/>
      <c r="G195" s="528"/>
      <c r="H195" s="528"/>
      <c r="I195" s="530"/>
      <c r="J19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96" spans="1:10" x14ac:dyDescent="0.35">
      <c r="A196" s="525"/>
      <c r="B196" s="543"/>
      <c r="C196" s="526"/>
      <c r="D196" s="526"/>
      <c r="E196" s="527"/>
      <c r="F196" s="528"/>
      <c r="G196" s="528"/>
      <c r="H196" s="528"/>
      <c r="I196" s="530"/>
      <c r="J19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97" spans="1:10" x14ac:dyDescent="0.35">
      <c r="A197" s="525"/>
      <c r="B197" s="543"/>
      <c r="C197" s="526"/>
      <c r="D197" s="526"/>
      <c r="E197" s="527"/>
      <c r="F197" s="528"/>
      <c r="G197" s="528"/>
      <c r="H197" s="528"/>
      <c r="I197" s="530"/>
      <c r="J19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98" spans="1:10" x14ac:dyDescent="0.35">
      <c r="A198" s="525"/>
      <c r="B198" s="543"/>
      <c r="C198" s="526"/>
      <c r="D198" s="526"/>
      <c r="E198" s="531"/>
      <c r="F198" s="532"/>
      <c r="G198" s="531"/>
      <c r="H198" s="532"/>
      <c r="I198" s="534"/>
      <c r="J19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199" spans="1:10" x14ac:dyDescent="0.35">
      <c r="A199" s="525"/>
      <c r="B199" s="543"/>
      <c r="C199" s="526"/>
      <c r="D199" s="526"/>
      <c r="E199" s="527"/>
      <c r="F199" s="528"/>
      <c r="G199" s="528"/>
      <c r="H199" s="528"/>
      <c r="I199" s="530"/>
      <c r="J19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00" spans="1:10" x14ac:dyDescent="0.35">
      <c r="A200" s="525"/>
      <c r="B200" s="543"/>
      <c r="C200" s="526"/>
      <c r="D200" s="526"/>
      <c r="E200" s="527"/>
      <c r="F200" s="528"/>
      <c r="G200" s="528"/>
      <c r="H200" s="528"/>
      <c r="I200" s="530"/>
      <c r="J20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01" spans="1:10" x14ac:dyDescent="0.35">
      <c r="A201" s="525"/>
      <c r="B201" s="543"/>
      <c r="C201" s="526"/>
      <c r="D201" s="526"/>
      <c r="E201" s="527"/>
      <c r="F201" s="528"/>
      <c r="G201" s="528"/>
      <c r="H201" s="528"/>
      <c r="I201" s="530"/>
      <c r="J20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02" spans="1:10" x14ac:dyDescent="0.35">
      <c r="A202" s="525"/>
      <c r="B202" s="543"/>
      <c r="C202" s="526"/>
      <c r="D202" s="526"/>
      <c r="E202" s="527"/>
      <c r="F202" s="528"/>
      <c r="G202" s="528"/>
      <c r="H202" s="528"/>
      <c r="I202" s="530"/>
      <c r="J20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03" spans="1:10" x14ac:dyDescent="0.35">
      <c r="A203" s="525"/>
      <c r="B203" s="543"/>
      <c r="C203" s="526"/>
      <c r="D203" s="526"/>
      <c r="E203" s="527"/>
      <c r="F203" s="528"/>
      <c r="G203" s="528"/>
      <c r="H203" s="528"/>
      <c r="I203" s="530"/>
      <c r="J20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04" spans="1:10" x14ac:dyDescent="0.35">
      <c r="A204" s="525"/>
      <c r="B204" s="543"/>
      <c r="C204" s="526"/>
      <c r="D204" s="526"/>
      <c r="E204" s="527"/>
      <c r="F204" s="528"/>
      <c r="G204" s="528"/>
      <c r="H204" s="528"/>
      <c r="I204" s="530"/>
      <c r="J20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05" spans="1:10" x14ac:dyDescent="0.35">
      <c r="A205" s="189"/>
      <c r="B205" s="544"/>
      <c r="C205" s="8"/>
      <c r="D205" s="8"/>
      <c r="E205" s="236"/>
      <c r="F205" s="226"/>
      <c r="G205" s="226"/>
      <c r="H205" s="226"/>
      <c r="I205" s="237"/>
      <c r="J20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06" spans="1:10" x14ac:dyDescent="0.35">
      <c r="A206" s="189"/>
      <c r="B206" s="544"/>
      <c r="C206" s="8"/>
      <c r="D206" s="8"/>
      <c r="E206" s="236"/>
      <c r="F206" s="226"/>
      <c r="G206" s="226"/>
      <c r="H206" s="226"/>
      <c r="I206" s="237"/>
      <c r="J20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07" spans="1:10" x14ac:dyDescent="0.35">
      <c r="A207" s="189"/>
      <c r="B207" s="544"/>
      <c r="C207" s="8"/>
      <c r="D207" s="8"/>
      <c r="E207" s="236"/>
      <c r="F207" s="226"/>
      <c r="G207" s="226"/>
      <c r="H207" s="226"/>
      <c r="I207" s="237"/>
      <c r="J20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08" spans="1:10" x14ac:dyDescent="0.35">
      <c r="A208" s="189"/>
      <c r="B208" s="544"/>
      <c r="C208" s="8"/>
      <c r="D208" s="8"/>
      <c r="E208" s="236"/>
      <c r="F208" s="226"/>
      <c r="G208" s="226"/>
      <c r="H208" s="226"/>
      <c r="I208" s="237"/>
      <c r="J20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09" spans="1:10" x14ac:dyDescent="0.35">
      <c r="A209" s="189"/>
      <c r="B209" s="544"/>
      <c r="C209" s="8"/>
      <c r="D209" s="8"/>
      <c r="E209" s="236"/>
      <c r="F209" s="226"/>
      <c r="G209" s="226"/>
      <c r="H209" s="226"/>
      <c r="I209" s="237"/>
      <c r="J20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10" spans="1:10" x14ac:dyDescent="0.35">
      <c r="A210" s="189"/>
      <c r="B210" s="544"/>
      <c r="C210" s="8"/>
      <c r="D210" s="8"/>
      <c r="E210" s="236"/>
      <c r="F210" s="226"/>
      <c r="G210" s="226"/>
      <c r="H210" s="226"/>
      <c r="I210" s="237"/>
      <c r="J21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11" spans="1:10" x14ac:dyDescent="0.35">
      <c r="A211" s="189"/>
      <c r="B211" s="544"/>
      <c r="C211" s="8"/>
      <c r="D211" s="8"/>
      <c r="E211" s="236"/>
      <c r="F211" s="226"/>
      <c r="G211" s="226"/>
      <c r="H211" s="226"/>
      <c r="I211" s="237"/>
      <c r="J21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12" spans="1:10" x14ac:dyDescent="0.35">
      <c r="A212" s="189"/>
      <c r="B212" s="544"/>
      <c r="C212" s="8"/>
      <c r="D212" s="8"/>
      <c r="E212" s="236"/>
      <c r="F212" s="226"/>
      <c r="G212" s="226"/>
      <c r="H212" s="226"/>
      <c r="I212" s="237"/>
      <c r="J21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13" spans="1:10" x14ac:dyDescent="0.35">
      <c r="A213" s="189"/>
      <c r="B213" s="544"/>
      <c r="C213" s="8"/>
      <c r="D213" s="8"/>
      <c r="E213" s="236"/>
      <c r="F213" s="226"/>
      <c r="G213" s="226"/>
      <c r="H213" s="226"/>
      <c r="I213" s="237"/>
      <c r="J21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14" spans="1:10" x14ac:dyDescent="0.35">
      <c r="A214" s="189"/>
      <c r="B214" s="544"/>
      <c r="C214" s="8"/>
      <c r="D214" s="8"/>
      <c r="E214" s="236"/>
      <c r="F214" s="226"/>
      <c r="G214" s="226"/>
      <c r="H214" s="226"/>
      <c r="I214" s="237"/>
      <c r="J21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15" spans="1:10" x14ac:dyDescent="0.35">
      <c r="A215" s="189"/>
      <c r="B215" s="544"/>
      <c r="C215" s="8"/>
      <c r="D215" s="8"/>
      <c r="E215" s="236"/>
      <c r="F215" s="226"/>
      <c r="G215" s="226"/>
      <c r="H215" s="226"/>
      <c r="I215" s="237"/>
      <c r="J21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16" spans="1:10" x14ac:dyDescent="0.35">
      <c r="A216" s="189"/>
      <c r="B216" s="544"/>
      <c r="C216" s="8"/>
      <c r="D216" s="8"/>
      <c r="E216" s="236"/>
      <c r="F216" s="226"/>
      <c r="G216" s="226"/>
      <c r="H216" s="226"/>
      <c r="I216" s="237"/>
      <c r="J21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17" spans="1:10" x14ac:dyDescent="0.35">
      <c r="A217" s="189"/>
      <c r="B217" s="544"/>
      <c r="C217" s="8"/>
      <c r="D217" s="8"/>
      <c r="E217" s="236"/>
      <c r="F217" s="226"/>
      <c r="G217" s="226"/>
      <c r="H217" s="226"/>
      <c r="I217" s="237"/>
      <c r="J21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18" spans="1:10" x14ac:dyDescent="0.35">
      <c r="A218" s="189"/>
      <c r="B218" s="544"/>
      <c r="C218" s="8"/>
      <c r="D218" s="8"/>
      <c r="E218" s="236"/>
      <c r="F218" s="226"/>
      <c r="G218" s="226"/>
      <c r="H218" s="226"/>
      <c r="I218" s="237"/>
      <c r="J21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19" spans="1:10" x14ac:dyDescent="0.35">
      <c r="A219" s="189"/>
      <c r="B219" s="544"/>
      <c r="C219" s="8"/>
      <c r="D219" s="8"/>
      <c r="E219" s="238"/>
      <c r="F219" s="239"/>
      <c r="G219" s="235"/>
      <c r="H219" s="239"/>
      <c r="I219" s="240"/>
      <c r="J21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20" spans="1:10" x14ac:dyDescent="0.35">
      <c r="A220" s="189"/>
      <c r="B220" s="544"/>
      <c r="C220" s="8"/>
      <c r="D220" s="8"/>
      <c r="E220" s="236"/>
      <c r="F220" s="226"/>
      <c r="G220" s="226"/>
      <c r="H220" s="226"/>
      <c r="I220" s="237"/>
      <c r="J22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21" spans="1:10" x14ac:dyDescent="0.35">
      <c r="A221" s="189"/>
      <c r="B221" s="544"/>
      <c r="C221" s="8"/>
      <c r="D221" s="8"/>
      <c r="E221" s="236"/>
      <c r="F221" s="226"/>
      <c r="G221" s="226"/>
      <c r="H221" s="226"/>
      <c r="I221" s="237"/>
      <c r="J22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22" spans="1:10" x14ac:dyDescent="0.35">
      <c r="A222" s="189"/>
      <c r="B222" s="544"/>
      <c r="C222" s="8"/>
      <c r="D222" s="8"/>
      <c r="E222" s="236"/>
      <c r="F222" s="226"/>
      <c r="G222" s="226"/>
      <c r="H222" s="226"/>
      <c r="I222" s="237"/>
      <c r="J22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23" spans="1:10" x14ac:dyDescent="0.35">
      <c r="A223" s="189"/>
      <c r="B223" s="544"/>
      <c r="C223" s="8"/>
      <c r="D223" s="8"/>
      <c r="E223" s="236"/>
      <c r="F223" s="226"/>
      <c r="G223" s="226"/>
      <c r="H223" s="226"/>
      <c r="I223" s="237"/>
      <c r="J22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24" spans="1:10" x14ac:dyDescent="0.35">
      <c r="A224" s="189"/>
      <c r="B224" s="544"/>
      <c r="C224" s="8"/>
      <c r="D224" s="8"/>
      <c r="E224" s="236"/>
      <c r="F224" s="226"/>
      <c r="G224" s="226"/>
      <c r="H224" s="226"/>
      <c r="I224" s="237"/>
      <c r="J22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25" spans="1:10" x14ac:dyDescent="0.35">
      <c r="A225" s="189"/>
      <c r="B225" s="544"/>
      <c r="C225" s="8"/>
      <c r="D225" s="8"/>
      <c r="E225" s="236"/>
      <c r="F225" s="226"/>
      <c r="G225" s="226"/>
      <c r="H225" s="226"/>
      <c r="I225" s="237"/>
      <c r="J22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26" spans="1:10" x14ac:dyDescent="0.35">
      <c r="A226" s="189"/>
      <c r="B226" s="544"/>
      <c r="C226" s="8"/>
      <c r="D226" s="8"/>
      <c r="E226" s="236"/>
      <c r="F226" s="226"/>
      <c r="G226" s="226"/>
      <c r="H226" s="226"/>
      <c r="I226" s="237"/>
      <c r="J22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27" spans="1:10" x14ac:dyDescent="0.35">
      <c r="A227" s="189"/>
      <c r="B227" s="544"/>
      <c r="C227" s="8"/>
      <c r="D227" s="8"/>
      <c r="E227" s="236"/>
      <c r="F227" s="226"/>
      <c r="G227" s="226"/>
      <c r="H227" s="226"/>
      <c r="I227" s="237"/>
      <c r="J22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28" spans="1:10" x14ac:dyDescent="0.35">
      <c r="A228" s="189"/>
      <c r="B228" s="544"/>
      <c r="C228" s="8"/>
      <c r="D228" s="8"/>
      <c r="E228" s="236"/>
      <c r="F228" s="226"/>
      <c r="G228" s="226"/>
      <c r="H228" s="226"/>
      <c r="I228" s="237"/>
      <c r="J22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29" spans="1:10" x14ac:dyDescent="0.35">
      <c r="A229" s="189"/>
      <c r="B229" s="544"/>
      <c r="C229" s="8"/>
      <c r="D229" s="8"/>
      <c r="E229" s="236"/>
      <c r="F229" s="226"/>
      <c r="G229" s="226"/>
      <c r="H229" s="226"/>
      <c r="I229" s="237"/>
      <c r="J22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30" spans="1:10" x14ac:dyDescent="0.35">
      <c r="A230" s="189"/>
      <c r="B230" s="544"/>
      <c r="C230" s="8"/>
      <c r="D230" s="8"/>
      <c r="E230" s="236"/>
      <c r="F230" s="226"/>
      <c r="G230" s="226"/>
      <c r="H230" s="226"/>
      <c r="I230" s="237"/>
      <c r="J23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31" spans="1:10" x14ac:dyDescent="0.35">
      <c r="A231" s="189"/>
      <c r="B231" s="544"/>
      <c r="C231" s="8"/>
      <c r="D231" s="8"/>
      <c r="E231" s="236"/>
      <c r="F231" s="226"/>
      <c r="G231" s="226"/>
      <c r="H231" s="226"/>
      <c r="I231" s="237"/>
      <c r="J23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32" spans="1:10" x14ac:dyDescent="0.35">
      <c r="A232" s="189"/>
      <c r="B232" s="544"/>
      <c r="C232" s="8"/>
      <c r="D232" s="8"/>
      <c r="E232" s="236"/>
      <c r="F232" s="226"/>
      <c r="G232" s="226"/>
      <c r="H232" s="226"/>
      <c r="I232" s="237"/>
      <c r="J23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33" spans="1:10" x14ac:dyDescent="0.35">
      <c r="A233" s="189"/>
      <c r="B233" s="544"/>
      <c r="C233" s="8"/>
      <c r="D233" s="8"/>
      <c r="E233" s="236"/>
      <c r="F233" s="226"/>
      <c r="G233" s="226"/>
      <c r="H233" s="226"/>
      <c r="I233" s="237"/>
      <c r="J23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34" spans="1:10" x14ac:dyDescent="0.35">
      <c r="A234" s="189"/>
      <c r="B234" s="544"/>
      <c r="C234" s="8"/>
      <c r="D234" s="8"/>
      <c r="E234" s="236"/>
      <c r="F234" s="226"/>
      <c r="G234" s="226"/>
      <c r="H234" s="226"/>
      <c r="I234" s="237"/>
      <c r="J23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35" spans="1:10" x14ac:dyDescent="0.35">
      <c r="A235" s="189"/>
      <c r="B235" s="544"/>
      <c r="C235" s="8"/>
      <c r="D235" s="8"/>
      <c r="E235" s="236"/>
      <c r="F235" s="226"/>
      <c r="G235" s="226"/>
      <c r="H235" s="226"/>
      <c r="I235" s="237"/>
      <c r="J23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36" spans="1:10" x14ac:dyDescent="0.35">
      <c r="A236" s="189"/>
      <c r="B236" s="544"/>
      <c r="C236" s="8"/>
      <c r="D236" s="8"/>
      <c r="E236" s="238"/>
      <c r="F236" s="239"/>
      <c r="G236" s="235"/>
      <c r="H236" s="239"/>
      <c r="I236" s="240"/>
      <c r="J23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37" spans="1:10" x14ac:dyDescent="0.35">
      <c r="A237" s="189"/>
      <c r="B237" s="544"/>
      <c r="C237" s="8"/>
      <c r="D237" s="8"/>
      <c r="E237" s="236"/>
      <c r="F237" s="226"/>
      <c r="G237" s="226"/>
      <c r="H237" s="226"/>
      <c r="I237" s="237"/>
      <c r="J23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38" spans="1:10" x14ac:dyDescent="0.35">
      <c r="A238" s="189"/>
      <c r="B238" s="544"/>
      <c r="C238" s="8"/>
      <c r="D238" s="8"/>
      <c r="E238" s="236"/>
      <c r="F238" s="226"/>
      <c r="G238" s="226"/>
      <c r="H238" s="226"/>
      <c r="I238" s="237"/>
      <c r="J23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39" spans="1:10" x14ac:dyDescent="0.35">
      <c r="A239" s="189"/>
      <c r="B239" s="544"/>
      <c r="C239" s="8"/>
      <c r="D239" s="8"/>
      <c r="E239" s="236"/>
      <c r="F239" s="226"/>
      <c r="G239" s="226"/>
      <c r="H239" s="226"/>
      <c r="I239" s="237"/>
      <c r="J23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40" spans="1:10" x14ac:dyDescent="0.35">
      <c r="A240" s="189"/>
      <c r="B240" s="544"/>
      <c r="C240" s="8"/>
      <c r="D240" s="8"/>
      <c r="E240" s="236"/>
      <c r="F240" s="226"/>
      <c r="G240" s="226"/>
      <c r="H240" s="226"/>
      <c r="I240" s="237"/>
      <c r="J24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41" spans="1:10" x14ac:dyDescent="0.35">
      <c r="A241" s="189"/>
      <c r="B241" s="544"/>
      <c r="C241" s="8"/>
      <c r="D241" s="8"/>
      <c r="E241" s="236"/>
      <c r="F241" s="226"/>
      <c r="G241" s="226"/>
      <c r="H241" s="226"/>
      <c r="I241" s="237"/>
      <c r="J24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42" spans="1:10" x14ac:dyDescent="0.35">
      <c r="A242" s="189"/>
      <c r="B242" s="544"/>
      <c r="C242" s="8"/>
      <c r="D242" s="8"/>
      <c r="E242" s="236"/>
      <c r="F242" s="226"/>
      <c r="G242" s="226"/>
      <c r="H242" s="226"/>
      <c r="I242" s="237"/>
      <c r="J24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43" spans="1:10" x14ac:dyDescent="0.35">
      <c r="A243" s="189"/>
      <c r="B243" s="544"/>
      <c r="C243" s="8"/>
      <c r="D243" s="8"/>
      <c r="E243" s="236"/>
      <c r="F243" s="226"/>
      <c r="G243" s="226"/>
      <c r="H243" s="226"/>
      <c r="I243" s="237"/>
      <c r="J24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44" spans="1:10" x14ac:dyDescent="0.35">
      <c r="A244" s="189"/>
      <c r="B244" s="544"/>
      <c r="C244" s="8"/>
      <c r="D244" s="8"/>
      <c r="E244" s="236"/>
      <c r="F244" s="226"/>
      <c r="G244" s="226"/>
      <c r="H244" s="226"/>
      <c r="I244" s="237"/>
      <c r="J24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45" spans="1:10" x14ac:dyDescent="0.35">
      <c r="A245" s="189"/>
      <c r="B245" s="544"/>
      <c r="C245" s="8"/>
      <c r="D245" s="8"/>
      <c r="E245" s="236"/>
      <c r="F245" s="226"/>
      <c r="G245" s="226"/>
      <c r="H245" s="226"/>
      <c r="I245" s="237"/>
      <c r="J24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46" spans="1:10" x14ac:dyDescent="0.35">
      <c r="A246" s="189"/>
      <c r="B246" s="544"/>
      <c r="C246" s="8"/>
      <c r="D246" s="8"/>
      <c r="E246" s="236"/>
      <c r="F246" s="226"/>
      <c r="G246" s="226"/>
      <c r="H246" s="226"/>
      <c r="I246" s="237"/>
      <c r="J24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47" spans="1:10" x14ac:dyDescent="0.35">
      <c r="A247" s="189"/>
      <c r="B247" s="544"/>
      <c r="C247" s="8"/>
      <c r="D247" s="8"/>
      <c r="E247" s="236"/>
      <c r="F247" s="226"/>
      <c r="G247" s="226"/>
      <c r="H247" s="226"/>
      <c r="I247" s="237"/>
      <c r="J24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48" spans="1:10" x14ac:dyDescent="0.35">
      <c r="A248" s="189"/>
      <c r="B248" s="544"/>
      <c r="C248" s="8"/>
      <c r="D248" s="8"/>
      <c r="E248" s="236"/>
      <c r="F248" s="226"/>
      <c r="G248" s="226"/>
      <c r="H248" s="226"/>
      <c r="I248" s="237"/>
      <c r="J24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49" spans="1:10" x14ac:dyDescent="0.35">
      <c r="A249" s="189"/>
      <c r="B249" s="544"/>
      <c r="C249" s="8"/>
      <c r="D249" s="8"/>
      <c r="E249" s="236"/>
      <c r="F249" s="226"/>
      <c r="G249" s="226"/>
      <c r="H249" s="226"/>
      <c r="I249" s="237"/>
      <c r="J24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50" spans="1:10" x14ac:dyDescent="0.35">
      <c r="A250" s="189"/>
      <c r="B250" s="544"/>
      <c r="C250" s="8"/>
      <c r="D250" s="8"/>
      <c r="E250" s="236"/>
      <c r="F250" s="226"/>
      <c r="G250" s="226"/>
      <c r="H250" s="226"/>
      <c r="I250" s="237"/>
      <c r="J25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51" spans="1:10" x14ac:dyDescent="0.35">
      <c r="A251" s="189"/>
      <c r="B251" s="544"/>
      <c r="C251" s="8"/>
      <c r="D251" s="8"/>
      <c r="E251" s="236"/>
      <c r="F251" s="226"/>
      <c r="G251" s="226"/>
      <c r="H251" s="226"/>
      <c r="I251" s="237"/>
      <c r="J25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52" spans="1:10" x14ac:dyDescent="0.35">
      <c r="A252" s="189"/>
      <c r="B252" s="544"/>
      <c r="C252" s="8"/>
      <c r="D252" s="8"/>
      <c r="E252" s="236"/>
      <c r="F252" s="226"/>
      <c r="G252" s="226"/>
      <c r="H252" s="226"/>
      <c r="I252" s="237"/>
      <c r="J25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53" spans="1:10" x14ac:dyDescent="0.35">
      <c r="A253" s="189"/>
      <c r="B253" s="544"/>
      <c r="C253" s="8"/>
      <c r="D253" s="8"/>
      <c r="E253" s="238"/>
      <c r="F253" s="239"/>
      <c r="G253" s="235"/>
      <c r="H253" s="239"/>
      <c r="I253" s="240"/>
      <c r="J25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54" spans="1:10" x14ac:dyDescent="0.35">
      <c r="A254" s="189"/>
      <c r="B254" s="544"/>
      <c r="C254" s="8"/>
      <c r="D254" s="8"/>
      <c r="E254" s="236"/>
      <c r="F254" s="226"/>
      <c r="G254" s="226"/>
      <c r="H254" s="226"/>
      <c r="I254" s="237"/>
      <c r="J25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55" spans="1:10" x14ac:dyDescent="0.35">
      <c r="A255" s="189"/>
      <c r="B255" s="544"/>
      <c r="C255" s="8"/>
      <c r="D255" s="8"/>
      <c r="E255" s="236"/>
      <c r="F255" s="226"/>
      <c r="G255" s="226"/>
      <c r="H255" s="226"/>
      <c r="I255" s="237"/>
      <c r="J25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56" spans="1:10" x14ac:dyDescent="0.35">
      <c r="A256" s="189"/>
      <c r="B256" s="544"/>
      <c r="C256" s="8"/>
      <c r="D256" s="8"/>
      <c r="E256" s="236"/>
      <c r="F256" s="226"/>
      <c r="G256" s="226"/>
      <c r="H256" s="226"/>
      <c r="I256" s="237"/>
      <c r="J25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57" spans="1:10" x14ac:dyDescent="0.35">
      <c r="A257" s="189"/>
      <c r="B257" s="544"/>
      <c r="C257" s="8"/>
      <c r="D257" s="8"/>
      <c r="E257" s="236"/>
      <c r="F257" s="226"/>
      <c r="G257" s="226"/>
      <c r="H257" s="226"/>
      <c r="I257" s="237"/>
      <c r="J25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58" spans="1:10" x14ac:dyDescent="0.35">
      <c r="A258" s="189"/>
      <c r="B258" s="544"/>
      <c r="C258" s="8"/>
      <c r="D258" s="8"/>
      <c r="E258" s="236"/>
      <c r="F258" s="226"/>
      <c r="G258" s="226"/>
      <c r="H258" s="226"/>
      <c r="I258" s="237"/>
      <c r="J25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59" spans="1:10" x14ac:dyDescent="0.35">
      <c r="A259" s="189"/>
      <c r="B259" s="544"/>
      <c r="C259" s="8"/>
      <c r="D259" s="8"/>
      <c r="E259" s="236"/>
      <c r="F259" s="226"/>
      <c r="G259" s="226"/>
      <c r="H259" s="226"/>
      <c r="I259" s="237"/>
      <c r="J25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60" spans="1:10" x14ac:dyDescent="0.35">
      <c r="A260" s="189"/>
      <c r="B260" s="544"/>
      <c r="C260" s="8"/>
      <c r="D260" s="8"/>
      <c r="E260" s="236"/>
      <c r="F260" s="226"/>
      <c r="G260" s="226"/>
      <c r="H260" s="226"/>
      <c r="I260" s="237"/>
      <c r="J26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61" spans="1:10" x14ac:dyDescent="0.35">
      <c r="A261" s="189"/>
      <c r="B261" s="544"/>
      <c r="C261" s="8"/>
      <c r="D261" s="8"/>
      <c r="E261" s="236"/>
      <c r="F261" s="226"/>
      <c r="G261" s="226"/>
      <c r="H261" s="226"/>
      <c r="I261" s="237"/>
      <c r="J26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62" spans="1:10" x14ac:dyDescent="0.35">
      <c r="A262" s="189"/>
      <c r="B262" s="544"/>
      <c r="C262" s="8"/>
      <c r="D262" s="8"/>
      <c r="E262" s="236"/>
      <c r="F262" s="226"/>
      <c r="G262" s="226"/>
      <c r="H262" s="226"/>
      <c r="I262" s="237"/>
      <c r="J26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63" spans="1:10" x14ac:dyDescent="0.35">
      <c r="A263" s="189"/>
      <c r="B263" s="544"/>
      <c r="C263" s="8"/>
      <c r="D263" s="8"/>
      <c r="E263" s="236"/>
      <c r="F263" s="226"/>
      <c r="G263" s="226"/>
      <c r="H263" s="226"/>
      <c r="I263" s="237"/>
      <c r="J26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64" spans="1:10" x14ac:dyDescent="0.35">
      <c r="A264" s="189"/>
      <c r="B264" s="544"/>
      <c r="C264" s="8"/>
      <c r="D264" s="8"/>
      <c r="E264" s="236"/>
      <c r="F264" s="226"/>
      <c r="G264" s="226"/>
      <c r="H264" s="226"/>
      <c r="I264" s="237"/>
      <c r="J26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65" spans="1:10" x14ac:dyDescent="0.35">
      <c r="A265" s="189"/>
      <c r="B265" s="544"/>
      <c r="C265" s="8"/>
      <c r="D265" s="8"/>
      <c r="E265" s="236"/>
      <c r="F265" s="226"/>
      <c r="G265" s="226"/>
      <c r="H265" s="226"/>
      <c r="I265" s="237"/>
      <c r="J26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66" spans="1:10" x14ac:dyDescent="0.35">
      <c r="A266" s="189"/>
      <c r="B266" s="544"/>
      <c r="C266" s="8"/>
      <c r="D266" s="8"/>
      <c r="E266" s="236"/>
      <c r="F266" s="226"/>
      <c r="G266" s="226"/>
      <c r="H266" s="226"/>
      <c r="I266" s="237"/>
      <c r="J26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67" spans="1:10" x14ac:dyDescent="0.35">
      <c r="A267" s="189"/>
      <c r="B267" s="544"/>
      <c r="C267" s="8"/>
      <c r="D267" s="8"/>
      <c r="E267" s="236"/>
      <c r="F267" s="226"/>
      <c r="G267" s="226"/>
      <c r="H267" s="226"/>
      <c r="I267" s="237"/>
      <c r="J26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68" spans="1:10" x14ac:dyDescent="0.35">
      <c r="A268" s="189"/>
      <c r="B268" s="544"/>
      <c r="C268" s="8"/>
      <c r="D268" s="8"/>
      <c r="E268" s="236"/>
      <c r="F268" s="226"/>
      <c r="G268" s="226"/>
      <c r="H268" s="226"/>
      <c r="I268" s="237"/>
      <c r="J26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69" spans="1:10" x14ac:dyDescent="0.35">
      <c r="A269" s="189"/>
      <c r="B269" s="544"/>
      <c r="C269" s="8"/>
      <c r="D269" s="8"/>
      <c r="E269" s="236"/>
      <c r="F269" s="226"/>
      <c r="G269" s="226"/>
      <c r="H269" s="226"/>
      <c r="I269" s="237"/>
      <c r="J26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70" spans="1:10" x14ac:dyDescent="0.35">
      <c r="A270" s="189"/>
      <c r="B270" s="544"/>
      <c r="C270" s="8"/>
      <c r="D270" s="8"/>
      <c r="E270" s="238"/>
      <c r="F270" s="239"/>
      <c r="G270" s="235"/>
      <c r="H270" s="239"/>
      <c r="I270" s="240"/>
      <c r="J27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71" spans="1:10" x14ac:dyDescent="0.35">
      <c r="A271" s="189"/>
      <c r="B271" s="544"/>
      <c r="C271" s="8"/>
      <c r="D271" s="8"/>
      <c r="E271" s="236"/>
      <c r="F271" s="226"/>
      <c r="G271" s="226"/>
      <c r="H271" s="226"/>
      <c r="I271" s="237"/>
      <c r="J27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72" spans="1:10" x14ac:dyDescent="0.35">
      <c r="A272" s="189"/>
      <c r="B272" s="544"/>
      <c r="C272" s="8"/>
      <c r="D272" s="8"/>
      <c r="E272" s="236"/>
      <c r="F272" s="226"/>
      <c r="G272" s="226"/>
      <c r="H272" s="226"/>
      <c r="I272" s="237"/>
      <c r="J27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73" spans="1:10" x14ac:dyDescent="0.35">
      <c r="A273" s="189"/>
      <c r="B273" s="544"/>
      <c r="C273" s="8"/>
      <c r="D273" s="8"/>
      <c r="E273" s="236"/>
      <c r="F273" s="226"/>
      <c r="G273" s="226"/>
      <c r="H273" s="226"/>
      <c r="I273" s="237"/>
      <c r="J27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74" spans="1:10" x14ac:dyDescent="0.35">
      <c r="A274" s="189"/>
      <c r="B274" s="544"/>
      <c r="C274" s="8"/>
      <c r="D274" s="8"/>
      <c r="E274" s="236"/>
      <c r="F274" s="226"/>
      <c r="G274" s="226"/>
      <c r="H274" s="226"/>
      <c r="I274" s="237"/>
      <c r="J27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75" spans="1:10" x14ac:dyDescent="0.35">
      <c r="A275" s="189"/>
      <c r="B275" s="544"/>
      <c r="C275" s="8"/>
      <c r="D275" s="8"/>
      <c r="E275" s="236"/>
      <c r="F275" s="226"/>
      <c r="G275" s="226"/>
      <c r="H275" s="226"/>
      <c r="I275" s="237"/>
      <c r="J27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76" spans="1:10" x14ac:dyDescent="0.35">
      <c r="A276" s="189"/>
      <c r="B276" s="544"/>
      <c r="C276" s="8"/>
      <c r="D276" s="8"/>
      <c r="E276" s="236"/>
      <c r="F276" s="226"/>
      <c r="G276" s="226"/>
      <c r="H276" s="226"/>
      <c r="I276" s="237"/>
      <c r="J27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77" spans="1:10" x14ac:dyDescent="0.35">
      <c r="A277" s="189"/>
      <c r="B277" s="544"/>
      <c r="C277" s="8"/>
      <c r="D277" s="8"/>
      <c r="E277" s="236"/>
      <c r="F277" s="226"/>
      <c r="G277" s="226"/>
      <c r="H277" s="226"/>
      <c r="I277" s="237"/>
      <c r="J27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78" spans="1:10" x14ac:dyDescent="0.35">
      <c r="A278" s="189"/>
      <c r="B278" s="544"/>
      <c r="C278" s="8"/>
      <c r="D278" s="8"/>
      <c r="E278" s="236"/>
      <c r="F278" s="226"/>
      <c r="G278" s="226"/>
      <c r="H278" s="226"/>
      <c r="I278" s="237"/>
      <c r="J27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79" spans="1:10" x14ac:dyDescent="0.35">
      <c r="A279" s="189"/>
      <c r="B279" s="544"/>
      <c r="C279" s="8"/>
      <c r="D279" s="8"/>
      <c r="E279" s="236"/>
      <c r="F279" s="226"/>
      <c r="G279" s="226"/>
      <c r="H279" s="226"/>
      <c r="I279" s="237"/>
      <c r="J27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80" spans="1:10" x14ac:dyDescent="0.35">
      <c r="A280" s="189"/>
      <c r="B280" s="544"/>
      <c r="C280" s="8"/>
      <c r="D280" s="8"/>
      <c r="E280" s="236"/>
      <c r="F280" s="226"/>
      <c r="G280" s="226"/>
      <c r="H280" s="226"/>
      <c r="I280" s="237"/>
      <c r="J28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81" spans="1:10" x14ac:dyDescent="0.35">
      <c r="A281" s="189"/>
      <c r="B281" s="544"/>
      <c r="C281" s="8"/>
      <c r="D281" s="8"/>
      <c r="E281" s="236"/>
      <c r="F281" s="226"/>
      <c r="G281" s="226"/>
      <c r="H281" s="226"/>
      <c r="I281" s="237"/>
      <c r="J28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82" spans="1:10" x14ac:dyDescent="0.35">
      <c r="A282" s="189"/>
      <c r="B282" s="544"/>
      <c r="C282" s="8"/>
      <c r="D282" s="8"/>
      <c r="E282" s="236"/>
      <c r="F282" s="226"/>
      <c r="G282" s="226"/>
      <c r="H282" s="226"/>
      <c r="I282" s="237"/>
      <c r="J28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83" spans="1:10" x14ac:dyDescent="0.35">
      <c r="A283" s="189"/>
      <c r="B283" s="544"/>
      <c r="C283" s="8"/>
      <c r="D283" s="8"/>
      <c r="E283" s="236"/>
      <c r="F283" s="226"/>
      <c r="G283" s="226"/>
      <c r="H283" s="226"/>
      <c r="I283" s="237"/>
      <c r="J28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84" spans="1:10" x14ac:dyDescent="0.35">
      <c r="A284" s="189"/>
      <c r="B284" s="544"/>
      <c r="C284" s="8"/>
      <c r="D284" s="8"/>
      <c r="E284" s="236"/>
      <c r="F284" s="226"/>
      <c r="G284" s="226"/>
      <c r="H284" s="226"/>
      <c r="I284" s="237"/>
      <c r="J28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85" spans="1:10" x14ac:dyDescent="0.35">
      <c r="A285" s="189"/>
      <c r="B285" s="544"/>
      <c r="C285" s="8"/>
      <c r="D285" s="8"/>
      <c r="E285" s="236"/>
      <c r="F285" s="226"/>
      <c r="G285" s="226"/>
      <c r="H285" s="226"/>
      <c r="I285" s="237"/>
      <c r="J28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86" spans="1:10" x14ac:dyDescent="0.35">
      <c r="A286" s="189"/>
      <c r="B286" s="544"/>
      <c r="C286" s="8"/>
      <c r="D286" s="8"/>
      <c r="E286" s="236"/>
      <c r="F286" s="226"/>
      <c r="G286" s="226"/>
      <c r="H286" s="226"/>
      <c r="I286" s="237"/>
      <c r="J28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87" spans="1:10" x14ac:dyDescent="0.35">
      <c r="A287" s="189"/>
      <c r="B287" s="544"/>
      <c r="C287" s="8"/>
      <c r="D287" s="8"/>
      <c r="E287" s="238"/>
      <c r="F287" s="239"/>
      <c r="G287" s="235"/>
      <c r="H287" s="239"/>
      <c r="I287" s="240"/>
      <c r="J28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88" spans="1:10" x14ac:dyDescent="0.35">
      <c r="A288" s="189"/>
      <c r="B288" s="544"/>
      <c r="C288" s="8"/>
      <c r="D288" s="8"/>
      <c r="E288" s="236"/>
      <c r="F288" s="226"/>
      <c r="G288" s="226"/>
      <c r="H288" s="226"/>
      <c r="I288" s="237"/>
      <c r="J28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89" spans="1:10" x14ac:dyDescent="0.35">
      <c r="A289" s="9"/>
      <c r="B289" s="9"/>
      <c r="C289" s="9"/>
      <c r="D289" s="9"/>
      <c r="E289" s="9"/>
      <c r="F289" s="9"/>
      <c r="G289" s="9"/>
      <c r="H289" s="441"/>
      <c r="I289" s="441"/>
      <c r="J28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90" spans="1:10" x14ac:dyDescent="0.35">
      <c r="A290" s="9"/>
      <c r="B290" s="9"/>
      <c r="C290" s="9"/>
      <c r="D290" s="9"/>
      <c r="E290" s="9"/>
      <c r="F290" s="9"/>
      <c r="G290" s="9"/>
      <c r="H290" s="441"/>
      <c r="I290" s="441"/>
      <c r="J29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91" spans="1:10" x14ac:dyDescent="0.35">
      <c r="A291" s="9"/>
      <c r="B291" s="9"/>
      <c r="C291" s="9"/>
      <c r="D291" s="9"/>
      <c r="E291" s="9"/>
      <c r="F291" s="9"/>
      <c r="G291" s="9"/>
      <c r="H291" s="441"/>
      <c r="I291" s="441"/>
      <c r="J29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92" spans="1:10" x14ac:dyDescent="0.35">
      <c r="A292" s="9"/>
      <c r="B292" s="9"/>
      <c r="C292" s="9"/>
      <c r="D292" s="9"/>
      <c r="E292" s="9"/>
      <c r="F292" s="9"/>
      <c r="G292" s="9"/>
      <c r="H292" s="441"/>
      <c r="I292" s="441"/>
      <c r="J29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93" spans="1:10" x14ac:dyDescent="0.35">
      <c r="A293" s="9"/>
      <c r="B293" s="9"/>
      <c r="C293" s="9"/>
      <c r="D293" s="9"/>
      <c r="E293" s="9"/>
      <c r="F293" s="9"/>
      <c r="G293" s="9"/>
      <c r="H293" s="441"/>
      <c r="I293" s="441"/>
      <c r="J29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94" spans="1:10" x14ac:dyDescent="0.35">
      <c r="A294" s="9"/>
      <c r="B294" s="9"/>
      <c r="C294" s="9"/>
      <c r="D294" s="9"/>
      <c r="E294" s="9"/>
      <c r="F294" s="9"/>
      <c r="G294" s="9"/>
      <c r="H294" s="441"/>
      <c r="I294" s="441"/>
      <c r="J29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95" spans="1:10" x14ac:dyDescent="0.35">
      <c r="A295" s="9"/>
      <c r="B295" s="9"/>
      <c r="C295" s="9"/>
      <c r="D295" s="9"/>
      <c r="E295" s="9"/>
      <c r="F295" s="9"/>
      <c r="G295" s="9"/>
      <c r="H295" s="441"/>
      <c r="I295" s="441"/>
      <c r="J29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96" spans="1:10" x14ac:dyDescent="0.35">
      <c r="A296" s="9"/>
      <c r="B296" s="9"/>
      <c r="C296" s="9"/>
      <c r="D296" s="9"/>
      <c r="E296" s="9"/>
      <c r="F296" s="9"/>
      <c r="G296" s="9"/>
      <c r="H296" s="441"/>
      <c r="I296" s="441"/>
      <c r="J29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97" spans="1:10" x14ac:dyDescent="0.35">
      <c r="A297" s="9"/>
      <c r="B297" s="9"/>
      <c r="C297" s="9"/>
      <c r="D297" s="9"/>
      <c r="E297" s="9"/>
      <c r="F297" s="9"/>
      <c r="G297" s="9"/>
      <c r="H297" s="441"/>
      <c r="I297" s="441"/>
      <c r="J29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98" spans="1:10" x14ac:dyDescent="0.35">
      <c r="A298" s="9"/>
      <c r="B298" s="9"/>
      <c r="C298" s="9"/>
      <c r="D298" s="9"/>
      <c r="E298" s="9"/>
      <c r="F298" s="9"/>
      <c r="G298" s="9"/>
      <c r="H298" s="441"/>
      <c r="I298" s="441"/>
      <c r="J29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299" spans="1:10" x14ac:dyDescent="0.35">
      <c r="A299" s="9"/>
      <c r="B299" s="9"/>
      <c r="C299" s="9"/>
      <c r="D299" s="9"/>
      <c r="E299" s="9"/>
      <c r="F299" s="9"/>
      <c r="G299" s="9"/>
      <c r="H299" s="441"/>
      <c r="I299" s="441"/>
      <c r="J29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00" spans="1:10" x14ac:dyDescent="0.35">
      <c r="A300" s="9"/>
      <c r="B300" s="9"/>
      <c r="C300" s="9"/>
      <c r="D300" s="9"/>
      <c r="E300" s="9"/>
      <c r="F300" s="9"/>
      <c r="G300" s="9"/>
      <c r="H300" s="441"/>
      <c r="I300" s="441"/>
      <c r="J30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01" spans="1:10" x14ac:dyDescent="0.35">
      <c r="A301" s="9"/>
      <c r="B301" s="9"/>
      <c r="C301" s="9"/>
      <c r="D301" s="9"/>
      <c r="E301" s="9"/>
      <c r="F301" s="9"/>
      <c r="G301" s="9"/>
      <c r="H301" s="441"/>
      <c r="I301" s="441"/>
      <c r="J30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02" spans="1:10" x14ac:dyDescent="0.35">
      <c r="A302" s="9"/>
      <c r="B302" s="9"/>
      <c r="C302" s="9"/>
      <c r="D302" s="9"/>
      <c r="E302" s="9"/>
      <c r="F302" s="9"/>
      <c r="G302" s="9"/>
      <c r="H302" s="441"/>
      <c r="I302" s="441"/>
      <c r="J30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03" spans="1:10" x14ac:dyDescent="0.35">
      <c r="A303" s="9"/>
      <c r="B303" s="9"/>
      <c r="C303" s="9"/>
      <c r="D303" s="9"/>
      <c r="E303" s="9"/>
      <c r="F303" s="9"/>
      <c r="G303" s="9"/>
      <c r="H303" s="441"/>
      <c r="I303" s="441"/>
      <c r="J30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04" spans="1:10" x14ac:dyDescent="0.35">
      <c r="A304" s="9"/>
      <c r="B304" s="9"/>
      <c r="C304" s="9"/>
      <c r="D304" s="9"/>
      <c r="E304" s="9"/>
      <c r="F304" s="9"/>
      <c r="G304" s="9"/>
      <c r="H304" s="441"/>
      <c r="I304" s="441"/>
      <c r="J30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05" spans="1:10" x14ac:dyDescent="0.35">
      <c r="A305" s="9"/>
      <c r="B305" s="9"/>
      <c r="C305" s="9"/>
      <c r="D305" s="9"/>
      <c r="E305" s="9"/>
      <c r="F305" s="9"/>
      <c r="G305" s="9"/>
      <c r="H305" s="441"/>
      <c r="I305" s="441"/>
      <c r="J30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06" spans="1:10" x14ac:dyDescent="0.35">
      <c r="A306" s="9"/>
      <c r="B306" s="9"/>
      <c r="C306" s="9"/>
      <c r="D306" s="9"/>
      <c r="E306" s="9"/>
      <c r="F306" s="9"/>
      <c r="G306" s="9"/>
      <c r="H306" s="441"/>
      <c r="I306" s="441"/>
      <c r="J30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07" spans="1:10" x14ac:dyDescent="0.35">
      <c r="A307" s="9"/>
      <c r="B307" s="9"/>
      <c r="C307" s="9"/>
      <c r="D307" s="9"/>
      <c r="E307" s="9"/>
      <c r="F307" s="9"/>
      <c r="G307" s="9"/>
      <c r="H307" s="441"/>
      <c r="I307" s="441"/>
      <c r="J30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08" spans="1:10" x14ac:dyDescent="0.35">
      <c r="A308" s="9"/>
      <c r="B308" s="9"/>
      <c r="C308" s="9"/>
      <c r="D308" s="9"/>
      <c r="E308" s="9"/>
      <c r="F308" s="9"/>
      <c r="G308" s="9"/>
      <c r="H308" s="441"/>
      <c r="I308" s="441"/>
      <c r="J30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09" spans="1:10" x14ac:dyDescent="0.35">
      <c r="A309" s="9"/>
      <c r="B309" s="9"/>
      <c r="C309" s="9"/>
      <c r="D309" s="9"/>
      <c r="E309" s="9"/>
      <c r="F309" s="9"/>
      <c r="G309" s="9"/>
      <c r="H309" s="441"/>
      <c r="I309" s="441"/>
      <c r="J30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10" spans="1:10" x14ac:dyDescent="0.35">
      <c r="A310" s="9"/>
      <c r="B310" s="9"/>
      <c r="C310" s="9"/>
      <c r="D310" s="9"/>
      <c r="E310" s="9"/>
      <c r="F310" s="9"/>
      <c r="G310" s="9"/>
      <c r="H310" s="441"/>
      <c r="I310" s="441"/>
      <c r="J31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11" spans="1:10" x14ac:dyDescent="0.35">
      <c r="A311" s="9"/>
      <c r="B311" s="9"/>
      <c r="C311" s="9"/>
      <c r="D311" s="9"/>
      <c r="E311" s="9"/>
      <c r="F311" s="9"/>
      <c r="G311" s="9"/>
      <c r="H311" s="441"/>
      <c r="I311" s="441"/>
      <c r="J31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12" spans="1:10" x14ac:dyDescent="0.35">
      <c r="A312" s="9"/>
      <c r="B312" s="9"/>
      <c r="C312" s="9"/>
      <c r="D312" s="9"/>
      <c r="E312" s="9"/>
      <c r="F312" s="9"/>
      <c r="G312" s="9"/>
      <c r="H312" s="441"/>
      <c r="I312" s="441"/>
      <c r="J31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13" spans="1:10" x14ac:dyDescent="0.35">
      <c r="A313" s="9"/>
      <c r="B313" s="9"/>
      <c r="C313" s="9"/>
      <c r="D313" s="9"/>
      <c r="E313" s="9"/>
      <c r="F313" s="9"/>
      <c r="G313" s="9"/>
      <c r="H313" s="441"/>
      <c r="I313" s="441"/>
      <c r="J31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14" spans="1:10" x14ac:dyDescent="0.35">
      <c r="A314" s="9"/>
      <c r="B314" s="9"/>
      <c r="C314" s="9"/>
      <c r="D314" s="9"/>
      <c r="E314" s="9"/>
      <c r="F314" s="9"/>
      <c r="G314" s="9"/>
      <c r="H314" s="441"/>
      <c r="I314" s="441"/>
      <c r="J31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15" spans="1:10" x14ac:dyDescent="0.35">
      <c r="A315" s="9"/>
      <c r="B315" s="9"/>
      <c r="C315" s="9"/>
      <c r="D315" s="9"/>
      <c r="E315" s="9"/>
      <c r="F315" s="9"/>
      <c r="G315" s="9"/>
      <c r="H315" s="441"/>
      <c r="I315" s="441"/>
      <c r="J31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16" spans="1:10" x14ac:dyDescent="0.35">
      <c r="A316" s="9"/>
      <c r="B316" s="9"/>
      <c r="C316" s="9"/>
      <c r="D316" s="9"/>
      <c r="E316" s="9"/>
      <c r="F316" s="9"/>
      <c r="G316" s="9"/>
      <c r="H316" s="441"/>
      <c r="I316" s="441"/>
      <c r="J31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17" spans="1:10" x14ac:dyDescent="0.35">
      <c r="A317" s="9"/>
      <c r="B317" s="9"/>
      <c r="C317" s="9"/>
      <c r="D317" s="9"/>
      <c r="E317" s="9"/>
      <c r="F317" s="9"/>
      <c r="G317" s="9"/>
      <c r="H317" s="441"/>
      <c r="I317" s="441"/>
      <c r="J31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18" spans="1:10" x14ac:dyDescent="0.35">
      <c r="A318" s="9"/>
      <c r="B318" s="9"/>
      <c r="C318" s="9"/>
      <c r="D318" s="9"/>
      <c r="E318" s="9"/>
      <c r="F318" s="9"/>
      <c r="G318" s="9"/>
      <c r="H318" s="441"/>
      <c r="I318" s="441"/>
      <c r="J31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19" spans="1:10" x14ac:dyDescent="0.35">
      <c r="A319" s="9"/>
      <c r="B319" s="9"/>
      <c r="C319" s="9"/>
      <c r="D319" s="9"/>
      <c r="E319" s="9"/>
      <c r="F319" s="9"/>
      <c r="G319" s="9"/>
      <c r="H319" s="441"/>
      <c r="I319" s="441"/>
      <c r="J31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20" spans="1:10" x14ac:dyDescent="0.35">
      <c r="A320" s="9"/>
      <c r="B320" s="9"/>
      <c r="C320" s="9"/>
      <c r="D320" s="9"/>
      <c r="E320" s="9"/>
      <c r="F320" s="9"/>
      <c r="G320" s="9"/>
      <c r="H320" s="441"/>
      <c r="I320" s="441"/>
      <c r="J32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21" spans="1:10" x14ac:dyDescent="0.35">
      <c r="A321" s="9"/>
      <c r="B321" s="9"/>
      <c r="C321" s="9"/>
      <c r="D321" s="9"/>
      <c r="E321" s="9"/>
      <c r="F321" s="9"/>
      <c r="G321" s="9"/>
      <c r="H321" s="441"/>
      <c r="I321" s="441"/>
      <c r="J32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22" spans="1:10" x14ac:dyDescent="0.35">
      <c r="A322" s="9"/>
      <c r="B322" s="9"/>
      <c r="C322" s="9"/>
      <c r="D322" s="9"/>
      <c r="E322" s="9"/>
      <c r="F322" s="9"/>
      <c r="G322" s="9"/>
      <c r="H322" s="441"/>
      <c r="I322" s="441"/>
      <c r="J32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23" spans="1:10" x14ac:dyDescent="0.35">
      <c r="A323" s="9"/>
      <c r="B323" s="9"/>
      <c r="C323" s="9"/>
      <c r="D323" s="9"/>
      <c r="E323" s="9"/>
      <c r="F323" s="9"/>
      <c r="G323" s="9"/>
      <c r="H323" s="441"/>
      <c r="I323" s="441"/>
      <c r="J32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24" spans="1:10" x14ac:dyDescent="0.35">
      <c r="A324" s="9"/>
      <c r="B324" s="9"/>
      <c r="C324" s="9"/>
      <c r="D324" s="9"/>
      <c r="E324" s="9"/>
      <c r="F324" s="9"/>
      <c r="G324" s="9"/>
      <c r="H324" s="441"/>
      <c r="I324" s="441"/>
      <c r="J32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25" spans="1:10" x14ac:dyDescent="0.35">
      <c r="A325" s="9"/>
      <c r="B325" s="9"/>
      <c r="C325" s="9"/>
      <c r="D325" s="9"/>
      <c r="E325" s="9"/>
      <c r="F325" s="9"/>
      <c r="G325" s="9"/>
      <c r="H325" s="441"/>
      <c r="I325" s="441"/>
      <c r="J32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26" spans="1:10" x14ac:dyDescent="0.35">
      <c r="A326" s="9"/>
      <c r="B326" s="9"/>
      <c r="C326" s="9"/>
      <c r="D326" s="9"/>
      <c r="E326" s="9"/>
      <c r="F326" s="9"/>
      <c r="G326" s="9"/>
      <c r="H326" s="441"/>
      <c r="I326" s="441"/>
      <c r="J32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27" spans="1:10" x14ac:dyDescent="0.35">
      <c r="A327" s="9"/>
      <c r="B327" s="9"/>
      <c r="C327" s="9"/>
      <c r="D327" s="9"/>
      <c r="E327" s="9"/>
      <c r="F327" s="9"/>
      <c r="G327" s="9"/>
      <c r="H327" s="441"/>
      <c r="I327" s="441"/>
      <c r="J32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28" spans="1:10" x14ac:dyDescent="0.35">
      <c r="A328" s="9"/>
      <c r="B328" s="9"/>
      <c r="C328" s="9"/>
      <c r="D328" s="9"/>
      <c r="E328" s="9"/>
      <c r="F328" s="9"/>
      <c r="G328" s="9"/>
      <c r="H328" s="441"/>
      <c r="I328" s="441"/>
      <c r="J32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29" spans="1:10" x14ac:dyDescent="0.35">
      <c r="A329" s="9"/>
      <c r="B329" s="9"/>
      <c r="C329" s="9"/>
      <c r="D329" s="9"/>
      <c r="E329" s="9"/>
      <c r="F329" s="9"/>
      <c r="G329" s="9"/>
      <c r="H329" s="441"/>
      <c r="I329" s="441"/>
      <c r="J32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30" spans="1:10" x14ac:dyDescent="0.35">
      <c r="A330" s="9"/>
      <c r="B330" s="9"/>
      <c r="C330" s="9"/>
      <c r="D330" s="9"/>
      <c r="E330" s="9"/>
      <c r="F330" s="9"/>
      <c r="G330" s="9"/>
      <c r="H330" s="441"/>
      <c r="I330" s="441"/>
      <c r="J33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31" spans="1:10" x14ac:dyDescent="0.35">
      <c r="A331" s="9"/>
      <c r="B331" s="9"/>
      <c r="C331" s="9"/>
      <c r="D331" s="9"/>
      <c r="E331" s="9"/>
      <c r="F331" s="9"/>
      <c r="G331" s="9"/>
      <c r="H331" s="441"/>
      <c r="I331" s="441"/>
      <c r="J33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32" spans="1:10" x14ac:dyDescent="0.35">
      <c r="A332" s="9"/>
      <c r="B332" s="9"/>
      <c r="C332" s="9"/>
      <c r="D332" s="9"/>
      <c r="E332" s="9"/>
      <c r="F332" s="9"/>
      <c r="G332" s="9"/>
      <c r="H332" s="441"/>
      <c r="I332" s="441"/>
      <c r="J33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33" spans="1:10" x14ac:dyDescent="0.35">
      <c r="A333" s="9"/>
      <c r="B333" s="9"/>
      <c r="C333" s="9"/>
      <c r="D333" s="9"/>
      <c r="E333" s="9"/>
      <c r="F333" s="9"/>
      <c r="G333" s="9"/>
      <c r="H333" s="441"/>
      <c r="I333" s="441"/>
      <c r="J33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34" spans="1:10" x14ac:dyDescent="0.35">
      <c r="A334" s="9"/>
      <c r="B334" s="9"/>
      <c r="C334" s="9"/>
      <c r="D334" s="9"/>
      <c r="E334" s="9"/>
      <c r="F334" s="9"/>
      <c r="G334" s="9"/>
      <c r="H334" s="441"/>
      <c r="I334" s="441"/>
      <c r="J33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35" spans="1:10" x14ac:dyDescent="0.35">
      <c r="A335" s="9"/>
      <c r="B335" s="9"/>
      <c r="C335" s="9"/>
      <c r="D335" s="9"/>
      <c r="E335" s="9"/>
      <c r="F335" s="9"/>
      <c r="G335" s="9"/>
      <c r="H335" s="441"/>
      <c r="I335" s="441"/>
      <c r="J33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36" spans="1:10" x14ac:dyDescent="0.35">
      <c r="A336" s="9"/>
      <c r="B336" s="9"/>
      <c r="C336" s="9"/>
      <c r="D336" s="9"/>
      <c r="E336" s="9"/>
      <c r="F336" s="9"/>
      <c r="G336" s="9"/>
      <c r="H336" s="441"/>
      <c r="I336" s="441"/>
      <c r="J33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37" spans="1:10" x14ac:dyDescent="0.35">
      <c r="A337" s="9"/>
      <c r="B337" s="9"/>
      <c r="C337" s="9"/>
      <c r="D337" s="9"/>
      <c r="E337" s="9"/>
      <c r="F337" s="9"/>
      <c r="G337" s="9"/>
      <c r="H337" s="441"/>
      <c r="I337" s="441"/>
      <c r="J33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38" spans="1:10" x14ac:dyDescent="0.35">
      <c r="A338" s="9"/>
      <c r="B338" s="9"/>
      <c r="C338" s="9"/>
      <c r="D338" s="9"/>
      <c r="E338" s="9"/>
      <c r="F338" s="9"/>
      <c r="G338" s="9"/>
      <c r="H338" s="441"/>
      <c r="I338" s="441"/>
      <c r="J33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39" spans="1:10" x14ac:dyDescent="0.35">
      <c r="A339" s="9"/>
      <c r="B339" s="9"/>
      <c r="C339" s="9"/>
      <c r="D339" s="9"/>
      <c r="E339" s="9"/>
      <c r="F339" s="9"/>
      <c r="G339" s="9"/>
      <c r="H339" s="441"/>
      <c r="I339" s="441"/>
      <c r="J33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40" spans="1:10" x14ac:dyDescent="0.35">
      <c r="A340" s="9"/>
      <c r="B340" s="9"/>
      <c r="C340" s="9"/>
      <c r="D340" s="9"/>
      <c r="E340" s="9"/>
      <c r="F340" s="9"/>
      <c r="G340" s="9"/>
      <c r="H340" s="441"/>
      <c r="I340" s="441"/>
      <c r="J34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41" spans="1:10" x14ac:dyDescent="0.35">
      <c r="A341" s="9"/>
      <c r="B341" s="9"/>
      <c r="C341" s="9"/>
      <c r="D341" s="9"/>
      <c r="E341" s="9"/>
      <c r="F341" s="9"/>
      <c r="G341" s="9"/>
      <c r="H341" s="441"/>
      <c r="I341" s="441"/>
      <c r="J34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42" spans="1:10" x14ac:dyDescent="0.35">
      <c r="A342" s="9"/>
      <c r="B342" s="9"/>
      <c r="C342" s="9"/>
      <c r="D342" s="9"/>
      <c r="E342" s="9"/>
      <c r="F342" s="9"/>
      <c r="G342" s="9"/>
      <c r="H342" s="441"/>
      <c r="I342" s="441"/>
      <c r="J34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43" spans="1:10" x14ac:dyDescent="0.35">
      <c r="A343" s="9"/>
      <c r="B343" s="9"/>
      <c r="C343" s="9"/>
      <c r="D343" s="9"/>
      <c r="E343" s="9"/>
      <c r="F343" s="9"/>
      <c r="G343" s="9"/>
      <c r="H343" s="441"/>
      <c r="I343" s="441"/>
      <c r="J34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44" spans="1:10" x14ac:dyDescent="0.35">
      <c r="A344" s="9"/>
      <c r="B344" s="9"/>
      <c r="C344" s="9"/>
      <c r="D344" s="9"/>
      <c r="E344" s="9"/>
      <c r="F344" s="9"/>
      <c r="G344" s="9"/>
      <c r="H344" s="441"/>
      <c r="I344" s="441"/>
      <c r="J34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45" spans="1:10" x14ac:dyDescent="0.35">
      <c r="A345" s="9"/>
      <c r="B345" s="9"/>
      <c r="C345" s="9"/>
      <c r="D345" s="9"/>
      <c r="E345" s="9"/>
      <c r="F345" s="9"/>
      <c r="G345" s="9"/>
      <c r="H345" s="441"/>
      <c r="I345" s="441"/>
      <c r="J34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46" spans="1:10" x14ac:dyDescent="0.35">
      <c r="A346" s="9"/>
      <c r="B346" s="9"/>
      <c r="C346" s="9"/>
      <c r="D346" s="9"/>
      <c r="E346" s="9"/>
      <c r="F346" s="9"/>
      <c r="G346" s="9"/>
      <c r="H346" s="441"/>
      <c r="I346" s="441"/>
      <c r="J34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47" spans="1:10" x14ac:dyDescent="0.35">
      <c r="A347" s="9"/>
      <c r="B347" s="9"/>
      <c r="C347" s="9"/>
      <c r="D347" s="9"/>
      <c r="E347" s="9"/>
      <c r="F347" s="9"/>
      <c r="G347" s="9"/>
      <c r="H347" s="441"/>
      <c r="I347" s="441"/>
      <c r="J34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48" spans="1:10" x14ac:dyDescent="0.35">
      <c r="A348" s="9"/>
      <c r="B348" s="9"/>
      <c r="C348" s="9"/>
      <c r="D348" s="9"/>
      <c r="E348" s="9"/>
      <c r="F348" s="9"/>
      <c r="G348" s="9"/>
      <c r="H348" s="441"/>
      <c r="I348" s="441"/>
      <c r="J34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49" spans="1:10" x14ac:dyDescent="0.35">
      <c r="A349" s="9"/>
      <c r="B349" s="9"/>
      <c r="C349" s="9"/>
      <c r="D349" s="9"/>
      <c r="E349" s="9"/>
      <c r="F349" s="9"/>
      <c r="G349" s="9"/>
      <c r="H349" s="441"/>
      <c r="I349" s="441"/>
      <c r="J34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50" spans="1:10" x14ac:dyDescent="0.35">
      <c r="A350" s="9"/>
      <c r="B350" s="9"/>
      <c r="C350" s="9"/>
      <c r="D350" s="9"/>
      <c r="E350" s="9"/>
      <c r="F350" s="9"/>
      <c r="G350" s="9"/>
      <c r="H350" s="441"/>
      <c r="I350" s="441"/>
      <c r="J35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51" spans="1:10" x14ac:dyDescent="0.35">
      <c r="A351" s="9"/>
      <c r="B351" s="9"/>
      <c r="C351" s="9"/>
      <c r="D351" s="9"/>
      <c r="E351" s="9"/>
      <c r="F351" s="9"/>
      <c r="G351" s="9"/>
      <c r="H351" s="441"/>
      <c r="I351" s="441"/>
      <c r="J35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52" spans="1:10" x14ac:dyDescent="0.35">
      <c r="A352" s="9"/>
      <c r="B352" s="9"/>
      <c r="C352" s="9"/>
      <c r="D352" s="9"/>
      <c r="E352" s="9"/>
      <c r="F352" s="9"/>
      <c r="G352" s="9"/>
      <c r="H352" s="441"/>
      <c r="I352" s="441"/>
      <c r="J35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53" spans="1:10" x14ac:dyDescent="0.35">
      <c r="A353" s="9"/>
      <c r="B353" s="9"/>
      <c r="C353" s="9"/>
      <c r="D353" s="9"/>
      <c r="E353" s="9"/>
      <c r="F353" s="9"/>
      <c r="G353" s="9"/>
      <c r="H353" s="441"/>
      <c r="I353" s="441"/>
      <c r="J35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54" spans="1:10" x14ac:dyDescent="0.35">
      <c r="A354" s="9"/>
      <c r="B354" s="9"/>
      <c r="C354" s="9"/>
      <c r="D354" s="9"/>
      <c r="E354" s="9"/>
      <c r="F354" s="9"/>
      <c r="G354" s="9"/>
      <c r="H354" s="441"/>
      <c r="I354" s="441"/>
      <c r="J35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55" spans="1:10" x14ac:dyDescent="0.35">
      <c r="A355" s="9"/>
      <c r="B355" s="9"/>
      <c r="C355" s="9"/>
      <c r="D355" s="9"/>
      <c r="E355" s="9"/>
      <c r="F355" s="9"/>
      <c r="G355" s="9"/>
      <c r="H355" s="441"/>
      <c r="I355" s="441"/>
      <c r="J35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56" spans="1:10" x14ac:dyDescent="0.35">
      <c r="A356" s="9"/>
      <c r="B356" s="9"/>
      <c r="C356" s="9"/>
      <c r="D356" s="9"/>
      <c r="E356" s="9"/>
      <c r="F356" s="9"/>
      <c r="G356" s="9"/>
      <c r="H356" s="441"/>
      <c r="I356" s="441"/>
      <c r="J35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57" spans="1:10" x14ac:dyDescent="0.35">
      <c r="A357" s="9"/>
      <c r="B357" s="9"/>
      <c r="C357" s="9"/>
      <c r="D357" s="9"/>
      <c r="E357" s="9"/>
      <c r="F357" s="9"/>
      <c r="G357" s="9"/>
      <c r="H357" s="441"/>
      <c r="I357" s="441"/>
      <c r="J35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58" spans="1:10" x14ac:dyDescent="0.35">
      <c r="A358" s="9"/>
      <c r="B358" s="9"/>
      <c r="C358" s="9"/>
      <c r="D358" s="9"/>
      <c r="E358" s="9"/>
      <c r="F358" s="9"/>
      <c r="G358" s="9"/>
      <c r="H358" s="441"/>
      <c r="I358" s="441"/>
      <c r="J35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59" spans="1:10" x14ac:dyDescent="0.35">
      <c r="A359" s="9"/>
      <c r="B359" s="9"/>
      <c r="C359" s="9"/>
      <c r="D359" s="9"/>
      <c r="E359" s="9"/>
      <c r="F359" s="9"/>
      <c r="G359" s="9"/>
      <c r="H359" s="441"/>
      <c r="I359" s="441"/>
      <c r="J35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60" spans="1:10" x14ac:dyDescent="0.35">
      <c r="A360" s="9"/>
      <c r="B360" s="9"/>
      <c r="C360" s="9"/>
      <c r="D360" s="9"/>
      <c r="E360" s="9"/>
      <c r="F360" s="9"/>
      <c r="G360" s="9"/>
      <c r="H360" s="441"/>
      <c r="I360" s="441"/>
      <c r="J36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61" spans="1:10" x14ac:dyDescent="0.35">
      <c r="A361" s="9"/>
      <c r="B361" s="9"/>
      <c r="C361" s="9"/>
      <c r="D361" s="9"/>
      <c r="E361" s="9"/>
      <c r="F361" s="9"/>
      <c r="G361" s="9"/>
      <c r="H361" s="441"/>
      <c r="I361" s="441"/>
      <c r="J36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62" spans="1:10" x14ac:dyDescent="0.35">
      <c r="A362" s="9"/>
      <c r="B362" s="9"/>
      <c r="C362" s="9"/>
      <c r="D362" s="9"/>
      <c r="E362" s="9"/>
      <c r="F362" s="9"/>
      <c r="G362" s="9"/>
      <c r="H362" s="441"/>
      <c r="I362" s="441"/>
      <c r="J36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63" spans="1:10" x14ac:dyDescent="0.35">
      <c r="A363" s="9"/>
      <c r="B363" s="9"/>
      <c r="C363" s="9"/>
      <c r="D363" s="9"/>
      <c r="E363" s="9"/>
      <c r="F363" s="9"/>
      <c r="G363" s="9"/>
      <c r="H363" s="441"/>
      <c r="I363" s="441"/>
      <c r="J36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64" spans="1:10" x14ac:dyDescent="0.35">
      <c r="A364" s="9"/>
      <c r="B364" s="9"/>
      <c r="C364" s="9"/>
      <c r="D364" s="9"/>
      <c r="E364" s="9"/>
      <c r="F364" s="9"/>
      <c r="G364" s="9"/>
      <c r="H364" s="441"/>
      <c r="I364" s="441"/>
      <c r="J36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65" spans="1:10" x14ac:dyDescent="0.35">
      <c r="A365" s="9"/>
      <c r="B365" s="9"/>
      <c r="C365" s="9"/>
      <c r="D365" s="9"/>
      <c r="E365" s="9"/>
      <c r="F365" s="9"/>
      <c r="G365" s="9"/>
      <c r="H365" s="441"/>
      <c r="I365" s="441"/>
      <c r="J36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66" spans="1:10" x14ac:dyDescent="0.35">
      <c r="A366" s="9"/>
      <c r="B366" s="9"/>
      <c r="C366" s="9"/>
      <c r="D366" s="9"/>
      <c r="E366" s="9"/>
      <c r="F366" s="9"/>
      <c r="G366" s="9"/>
      <c r="H366" s="441"/>
      <c r="I366" s="441"/>
      <c r="J36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67" spans="1:10" x14ac:dyDescent="0.35">
      <c r="A367" s="9"/>
      <c r="B367" s="9"/>
      <c r="C367" s="9"/>
      <c r="D367" s="9"/>
      <c r="E367" s="9"/>
      <c r="F367" s="9"/>
      <c r="G367" s="9"/>
      <c r="H367" s="441"/>
      <c r="I367" s="441"/>
      <c r="J36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68" spans="1:10" x14ac:dyDescent="0.35">
      <c r="A368" s="9"/>
      <c r="B368" s="9"/>
      <c r="C368" s="9"/>
      <c r="D368" s="9"/>
      <c r="E368" s="9"/>
      <c r="F368" s="9"/>
      <c r="G368" s="9"/>
      <c r="H368" s="441"/>
      <c r="I368" s="441"/>
      <c r="J36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69" spans="1:10" x14ac:dyDescent="0.35">
      <c r="A369" s="9"/>
      <c r="B369" s="9"/>
      <c r="C369" s="9"/>
      <c r="D369" s="9"/>
      <c r="E369" s="9"/>
      <c r="F369" s="9"/>
      <c r="G369" s="9"/>
      <c r="H369" s="441"/>
      <c r="I369" s="441"/>
      <c r="J36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70" spans="1:10" x14ac:dyDescent="0.35">
      <c r="A370" s="9"/>
      <c r="B370" s="9"/>
      <c r="C370" s="9"/>
      <c r="D370" s="9"/>
      <c r="E370" s="9"/>
      <c r="F370" s="9"/>
      <c r="G370" s="9"/>
      <c r="H370" s="441"/>
      <c r="I370" s="441"/>
      <c r="J37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71" spans="1:10" x14ac:dyDescent="0.35">
      <c r="A371" s="9"/>
      <c r="B371" s="9"/>
      <c r="C371" s="9"/>
      <c r="D371" s="9"/>
      <c r="E371" s="9"/>
      <c r="F371" s="9"/>
      <c r="G371" s="9"/>
      <c r="H371" s="441"/>
      <c r="I371" s="441"/>
      <c r="J37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72" spans="1:10" x14ac:dyDescent="0.35">
      <c r="A372" s="9"/>
      <c r="B372" s="9"/>
      <c r="C372" s="9"/>
      <c r="D372" s="9"/>
      <c r="E372" s="9"/>
      <c r="F372" s="9"/>
      <c r="G372" s="9"/>
      <c r="H372" s="441"/>
      <c r="I372" s="441"/>
      <c r="J37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73" spans="1:10" x14ac:dyDescent="0.35">
      <c r="A373" s="9"/>
      <c r="B373" s="9"/>
      <c r="C373" s="9"/>
      <c r="D373" s="9"/>
      <c r="E373" s="9"/>
      <c r="F373" s="9"/>
      <c r="G373" s="9"/>
      <c r="H373" s="441"/>
      <c r="I373" s="441"/>
      <c r="J37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74" spans="1:10" x14ac:dyDescent="0.35">
      <c r="A374" s="9"/>
      <c r="B374" s="9"/>
      <c r="C374" s="9"/>
      <c r="D374" s="9"/>
      <c r="E374" s="9"/>
      <c r="F374" s="9"/>
      <c r="G374" s="9"/>
      <c r="H374" s="441"/>
      <c r="I374" s="441"/>
      <c r="J37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75" spans="1:10" x14ac:dyDescent="0.35">
      <c r="A375" s="9"/>
      <c r="B375" s="9"/>
      <c r="C375" s="9"/>
      <c r="D375" s="9"/>
      <c r="E375" s="9"/>
      <c r="F375" s="9"/>
      <c r="G375" s="9"/>
      <c r="H375" s="441"/>
      <c r="I375" s="441"/>
      <c r="J37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76" spans="1:10" x14ac:dyDescent="0.35">
      <c r="A376" s="9"/>
      <c r="B376" s="9"/>
      <c r="C376" s="9"/>
      <c r="D376" s="9"/>
      <c r="E376" s="9"/>
      <c r="F376" s="9"/>
      <c r="G376" s="9"/>
      <c r="H376" s="441"/>
      <c r="I376" s="441"/>
      <c r="J37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77" spans="1:10" x14ac:dyDescent="0.35">
      <c r="A377" s="9"/>
      <c r="B377" s="9"/>
      <c r="C377" s="9"/>
      <c r="D377" s="9"/>
      <c r="E377" s="9"/>
      <c r="F377" s="9"/>
      <c r="G377" s="9"/>
      <c r="H377" s="441"/>
      <c r="I377" s="441"/>
      <c r="J37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78" spans="1:10" x14ac:dyDescent="0.35">
      <c r="A378" s="9"/>
      <c r="B378" s="9"/>
      <c r="C378" s="9"/>
      <c r="D378" s="9"/>
      <c r="E378" s="9"/>
      <c r="F378" s="9"/>
      <c r="G378" s="9"/>
      <c r="H378" s="441"/>
      <c r="I378" s="441"/>
      <c r="J37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79" spans="1:10" x14ac:dyDescent="0.35">
      <c r="A379" s="9"/>
      <c r="B379" s="9"/>
      <c r="C379" s="9"/>
      <c r="D379" s="9"/>
      <c r="E379" s="9"/>
      <c r="F379" s="9"/>
      <c r="G379" s="9"/>
      <c r="H379" s="441"/>
      <c r="I379" s="441"/>
      <c r="J37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80" spans="1:10" x14ac:dyDescent="0.35">
      <c r="A380" s="9"/>
      <c r="B380" s="9"/>
      <c r="C380" s="9"/>
      <c r="D380" s="9"/>
      <c r="E380" s="9"/>
      <c r="F380" s="9"/>
      <c r="G380" s="9"/>
      <c r="H380" s="441"/>
      <c r="I380" s="441"/>
      <c r="J38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81" spans="1:10" x14ac:dyDescent="0.35">
      <c r="A381" s="9"/>
      <c r="B381" s="9"/>
      <c r="C381" s="9"/>
      <c r="D381" s="9"/>
      <c r="E381" s="9"/>
      <c r="F381" s="9"/>
      <c r="G381" s="9"/>
      <c r="H381" s="441"/>
      <c r="I381" s="441"/>
      <c r="J38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82" spans="1:10" x14ac:dyDescent="0.35">
      <c r="A382" s="9"/>
      <c r="B382" s="9"/>
      <c r="C382" s="9"/>
      <c r="D382" s="9"/>
      <c r="E382" s="9"/>
      <c r="F382" s="9"/>
      <c r="G382" s="9"/>
      <c r="H382" s="441"/>
      <c r="I382" s="441"/>
      <c r="J38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83" spans="1:10" x14ac:dyDescent="0.35">
      <c r="A383" s="9"/>
      <c r="B383" s="9"/>
      <c r="C383" s="9"/>
      <c r="D383" s="9"/>
      <c r="E383" s="9"/>
      <c r="F383" s="9"/>
      <c r="G383" s="9"/>
      <c r="H383" s="441"/>
      <c r="I383" s="441"/>
      <c r="J38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84" spans="1:10" x14ac:dyDescent="0.35">
      <c r="A384" s="9"/>
      <c r="B384" s="9"/>
      <c r="C384" s="9"/>
      <c r="D384" s="9"/>
      <c r="E384" s="9"/>
      <c r="F384" s="9"/>
      <c r="G384" s="9"/>
      <c r="H384" s="441"/>
      <c r="I384" s="441"/>
      <c r="J38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85" spans="1:10" x14ac:dyDescent="0.35">
      <c r="A385" s="9"/>
      <c r="B385" s="9"/>
      <c r="C385" s="9"/>
      <c r="D385" s="9"/>
      <c r="E385" s="9"/>
      <c r="F385" s="9"/>
      <c r="G385" s="9"/>
      <c r="H385" s="441"/>
      <c r="I385" s="441"/>
      <c r="J38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86" spans="1:10" x14ac:dyDescent="0.35">
      <c r="A386" s="9"/>
      <c r="B386" s="9"/>
      <c r="C386" s="9"/>
      <c r="D386" s="9"/>
      <c r="E386" s="9"/>
      <c r="F386" s="9"/>
      <c r="G386" s="9"/>
      <c r="H386" s="441"/>
      <c r="I386" s="441"/>
      <c r="J38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87" spans="1:10" x14ac:dyDescent="0.35">
      <c r="A387" s="9"/>
      <c r="B387" s="9"/>
      <c r="C387" s="9"/>
      <c r="D387" s="9"/>
      <c r="E387" s="9"/>
      <c r="F387" s="9"/>
      <c r="G387" s="9"/>
      <c r="H387" s="441"/>
      <c r="I387" s="441"/>
      <c r="J38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88" spans="1:10" x14ac:dyDescent="0.35">
      <c r="A388" s="9"/>
      <c r="B388" s="9"/>
      <c r="C388" s="9"/>
      <c r="D388" s="9"/>
      <c r="E388" s="9"/>
      <c r="F388" s="9"/>
      <c r="G388" s="9"/>
      <c r="H388" s="441"/>
      <c r="I388" s="441"/>
      <c r="J38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89" spans="1:10" x14ac:dyDescent="0.35">
      <c r="A389" s="9"/>
      <c r="B389" s="9"/>
      <c r="C389" s="9"/>
      <c r="D389" s="9"/>
      <c r="E389" s="9"/>
      <c r="F389" s="9"/>
      <c r="G389" s="9"/>
      <c r="H389" s="441"/>
      <c r="I389" s="441"/>
      <c r="J38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90" spans="1:10" x14ac:dyDescent="0.35">
      <c r="A390" s="9"/>
      <c r="B390" s="9"/>
      <c r="C390" s="9"/>
      <c r="D390" s="9"/>
      <c r="E390" s="9"/>
      <c r="F390" s="9"/>
      <c r="G390" s="9"/>
      <c r="H390" s="441"/>
      <c r="I390" s="441"/>
      <c r="J39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91" spans="1:10" x14ac:dyDescent="0.35">
      <c r="A391" s="9"/>
      <c r="B391" s="9"/>
      <c r="C391" s="9"/>
      <c r="D391" s="9"/>
      <c r="E391" s="9"/>
      <c r="F391" s="9"/>
      <c r="G391" s="9"/>
      <c r="H391" s="441"/>
      <c r="I391" s="441"/>
      <c r="J39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92" spans="1:10" x14ac:dyDescent="0.35">
      <c r="A392" s="9"/>
      <c r="B392" s="9"/>
      <c r="C392" s="9"/>
      <c r="D392" s="9"/>
      <c r="E392" s="9"/>
      <c r="F392" s="9"/>
      <c r="G392" s="9"/>
      <c r="H392" s="441"/>
      <c r="I392" s="441"/>
      <c r="J39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93" spans="1:10" x14ac:dyDescent="0.35">
      <c r="A393" s="9"/>
      <c r="B393" s="9"/>
      <c r="C393" s="9"/>
      <c r="D393" s="9"/>
      <c r="E393" s="9"/>
      <c r="F393" s="9"/>
      <c r="G393" s="9"/>
      <c r="H393" s="441"/>
      <c r="I393" s="441"/>
      <c r="J39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94" spans="1:10" x14ac:dyDescent="0.35">
      <c r="A394" s="9"/>
      <c r="B394" s="9"/>
      <c r="C394" s="9"/>
      <c r="D394" s="9"/>
      <c r="E394" s="9"/>
      <c r="F394" s="9"/>
      <c r="G394" s="9"/>
      <c r="H394" s="441"/>
      <c r="I394" s="441"/>
      <c r="J39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95" spans="1:10" x14ac:dyDescent="0.35">
      <c r="A395" s="9"/>
      <c r="B395" s="9"/>
      <c r="C395" s="9"/>
      <c r="D395" s="9"/>
      <c r="E395" s="9"/>
      <c r="F395" s="9"/>
      <c r="G395" s="9"/>
      <c r="H395" s="441"/>
      <c r="I395" s="441"/>
      <c r="J39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96" spans="1:10" x14ac:dyDescent="0.35">
      <c r="A396" s="9"/>
      <c r="B396" s="9"/>
      <c r="C396" s="9"/>
      <c r="D396" s="9"/>
      <c r="E396" s="9"/>
      <c r="F396" s="9"/>
      <c r="G396" s="9"/>
      <c r="H396" s="441"/>
      <c r="I396" s="441"/>
      <c r="J39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97" spans="1:10" x14ac:dyDescent="0.35">
      <c r="A397" s="9"/>
      <c r="B397" s="9"/>
      <c r="C397" s="9"/>
      <c r="D397" s="9"/>
      <c r="E397" s="9"/>
      <c r="F397" s="9"/>
      <c r="G397" s="9"/>
      <c r="H397" s="441"/>
      <c r="I397" s="441"/>
      <c r="J39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98" spans="1:10" x14ac:dyDescent="0.35">
      <c r="A398" s="9"/>
      <c r="B398" s="9"/>
      <c r="C398" s="9"/>
      <c r="D398" s="9"/>
      <c r="E398" s="9"/>
      <c r="F398" s="9"/>
      <c r="G398" s="9"/>
      <c r="H398" s="441"/>
      <c r="I398" s="441"/>
      <c r="J39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399" spans="1:10" x14ac:dyDescent="0.35">
      <c r="A399" s="9"/>
      <c r="B399" s="9"/>
      <c r="C399" s="9"/>
      <c r="D399" s="9"/>
      <c r="E399" s="9"/>
      <c r="F399" s="9"/>
      <c r="G399" s="9"/>
      <c r="H399" s="441"/>
      <c r="I399" s="441"/>
      <c r="J39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00" spans="1:10" x14ac:dyDescent="0.35">
      <c r="A400" s="9"/>
      <c r="B400" s="9"/>
      <c r="C400" s="9"/>
      <c r="D400" s="9"/>
      <c r="E400" s="9"/>
      <c r="F400" s="9"/>
      <c r="G400" s="9"/>
      <c r="H400" s="441"/>
      <c r="I400" s="441"/>
      <c r="J40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01" spans="1:10" x14ac:dyDescent="0.35">
      <c r="A401" s="9"/>
      <c r="B401" s="9"/>
      <c r="C401" s="9"/>
      <c r="D401" s="9"/>
      <c r="E401" s="9"/>
      <c r="F401" s="9"/>
      <c r="G401" s="9"/>
      <c r="H401" s="441"/>
      <c r="I401" s="441"/>
      <c r="J40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02" spans="1:10" x14ac:dyDescent="0.35">
      <c r="A402" s="9"/>
      <c r="B402" s="9"/>
      <c r="C402" s="9"/>
      <c r="D402" s="9"/>
      <c r="E402" s="9"/>
      <c r="F402" s="9"/>
      <c r="G402" s="9"/>
      <c r="H402" s="441"/>
      <c r="I402" s="441"/>
      <c r="J40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03" spans="1:10" x14ac:dyDescent="0.35">
      <c r="A403" s="9"/>
      <c r="B403" s="9"/>
      <c r="C403" s="9"/>
      <c r="D403" s="9"/>
      <c r="E403" s="9"/>
      <c r="F403" s="9"/>
      <c r="G403" s="9"/>
      <c r="H403" s="441"/>
      <c r="I403" s="441"/>
      <c r="J40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04" spans="1:10" x14ac:dyDescent="0.35">
      <c r="A404" s="9"/>
      <c r="B404" s="9"/>
      <c r="C404" s="9"/>
      <c r="D404" s="9"/>
      <c r="E404" s="9"/>
      <c r="F404" s="9"/>
      <c r="G404" s="9"/>
      <c r="H404" s="441"/>
      <c r="I404" s="441"/>
      <c r="J40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05" spans="1:10" x14ac:dyDescent="0.35">
      <c r="A405" s="9"/>
      <c r="B405" s="9"/>
      <c r="C405" s="9"/>
      <c r="D405" s="9"/>
      <c r="E405" s="9"/>
      <c r="F405" s="9"/>
      <c r="G405" s="9"/>
      <c r="H405" s="441"/>
      <c r="I405" s="441"/>
      <c r="J40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06" spans="1:10" x14ac:dyDescent="0.35">
      <c r="A406" s="9"/>
      <c r="B406" s="9"/>
      <c r="C406" s="9"/>
      <c r="D406" s="9"/>
      <c r="E406" s="9"/>
      <c r="F406" s="9"/>
      <c r="G406" s="9"/>
      <c r="H406" s="441"/>
      <c r="I406" s="441"/>
      <c r="J40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07" spans="1:10" x14ac:dyDescent="0.35">
      <c r="A407" s="9"/>
      <c r="B407" s="9"/>
      <c r="C407" s="9"/>
      <c r="D407" s="9"/>
      <c r="E407" s="9"/>
      <c r="F407" s="9"/>
      <c r="G407" s="9"/>
      <c r="H407" s="441"/>
      <c r="I407" s="441"/>
      <c r="J40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08" spans="1:10" x14ac:dyDescent="0.35">
      <c r="A408" s="9"/>
      <c r="B408" s="9"/>
      <c r="C408" s="9"/>
      <c r="D408" s="9"/>
      <c r="E408" s="9"/>
      <c r="F408" s="9"/>
      <c r="G408" s="9"/>
      <c r="H408" s="441"/>
      <c r="I408" s="441"/>
      <c r="J40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09" spans="1:10" x14ac:dyDescent="0.35">
      <c r="A409" s="9"/>
      <c r="B409" s="9"/>
      <c r="C409" s="9"/>
      <c r="D409" s="9"/>
      <c r="E409" s="9"/>
      <c r="F409" s="9"/>
      <c r="G409" s="9"/>
      <c r="H409" s="441"/>
      <c r="I409" s="441"/>
      <c r="J40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10" spans="1:10" x14ac:dyDescent="0.35">
      <c r="A410" s="9"/>
      <c r="B410" s="9"/>
      <c r="C410" s="9"/>
      <c r="D410" s="9"/>
      <c r="E410" s="9"/>
      <c r="F410" s="9"/>
      <c r="G410" s="9"/>
      <c r="H410" s="441"/>
      <c r="I410" s="441"/>
      <c r="J41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11" spans="1:10" x14ac:dyDescent="0.35">
      <c r="A411" s="9"/>
      <c r="B411" s="9"/>
      <c r="C411" s="9"/>
      <c r="D411" s="9"/>
      <c r="E411" s="9"/>
      <c r="F411" s="9"/>
      <c r="G411" s="9"/>
      <c r="H411" s="441"/>
      <c r="I411" s="441"/>
      <c r="J41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12" spans="1:10" x14ac:dyDescent="0.35">
      <c r="A412" s="9"/>
      <c r="B412" s="9"/>
      <c r="C412" s="9"/>
      <c r="D412" s="9"/>
      <c r="E412" s="9"/>
      <c r="F412" s="9"/>
      <c r="G412" s="9"/>
      <c r="H412" s="441"/>
      <c r="I412" s="441"/>
      <c r="J41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13" spans="1:10" x14ac:dyDescent="0.35">
      <c r="A413" s="9"/>
      <c r="B413" s="9"/>
      <c r="C413" s="9"/>
      <c r="D413" s="9"/>
      <c r="E413" s="9"/>
      <c r="F413" s="9"/>
      <c r="G413" s="9"/>
      <c r="H413" s="441"/>
      <c r="I413" s="441"/>
      <c r="J41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14" spans="1:10" x14ac:dyDescent="0.35">
      <c r="A414" s="9"/>
      <c r="B414" s="9"/>
      <c r="C414" s="9"/>
      <c r="D414" s="9"/>
      <c r="E414" s="9"/>
      <c r="F414" s="9"/>
      <c r="G414" s="9"/>
      <c r="H414" s="441"/>
      <c r="I414" s="441"/>
      <c r="J41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15" spans="1:10" x14ac:dyDescent="0.35">
      <c r="A415" s="9"/>
      <c r="B415" s="9"/>
      <c r="C415" s="9"/>
      <c r="D415" s="9"/>
      <c r="E415" s="9"/>
      <c r="F415" s="9"/>
      <c r="G415" s="9"/>
      <c r="H415" s="441"/>
      <c r="I415" s="441"/>
      <c r="J41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16" spans="1:10" x14ac:dyDescent="0.35">
      <c r="A416" s="9"/>
      <c r="B416" s="9"/>
      <c r="C416" s="9"/>
      <c r="D416" s="9"/>
      <c r="E416" s="9"/>
      <c r="F416" s="9"/>
      <c r="G416" s="9"/>
      <c r="H416" s="441"/>
      <c r="I416" s="441"/>
      <c r="J41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17" spans="1:10" x14ac:dyDescent="0.35">
      <c r="A417" s="9"/>
      <c r="B417" s="9"/>
      <c r="C417" s="9"/>
      <c r="D417" s="9"/>
      <c r="E417" s="9"/>
      <c r="F417" s="9"/>
      <c r="G417" s="9"/>
      <c r="H417" s="441"/>
      <c r="I417" s="441"/>
      <c r="J41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18" spans="1:10" x14ac:dyDescent="0.35">
      <c r="A418" s="9"/>
      <c r="B418" s="9"/>
      <c r="C418" s="9"/>
      <c r="D418" s="9"/>
      <c r="E418" s="9"/>
      <c r="F418" s="9"/>
      <c r="G418" s="9"/>
      <c r="H418" s="441"/>
      <c r="I418" s="441"/>
      <c r="J41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19" spans="1:10" x14ac:dyDescent="0.35">
      <c r="A419" s="9"/>
      <c r="B419" s="9"/>
      <c r="C419" s="9"/>
      <c r="D419" s="9"/>
      <c r="E419" s="9"/>
      <c r="F419" s="9"/>
      <c r="G419" s="9"/>
      <c r="H419" s="441"/>
      <c r="I419" s="441"/>
      <c r="J41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20" spans="1:10" x14ac:dyDescent="0.35">
      <c r="A420" s="9"/>
      <c r="B420" s="9"/>
      <c r="C420" s="9"/>
      <c r="D420" s="9"/>
      <c r="E420" s="9"/>
      <c r="F420" s="9"/>
      <c r="G420" s="9"/>
      <c r="H420" s="441"/>
      <c r="I420" s="441"/>
      <c r="J42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21" spans="1:10" x14ac:dyDescent="0.35">
      <c r="A421" s="9"/>
      <c r="B421" s="9"/>
      <c r="C421" s="9"/>
      <c r="D421" s="9"/>
      <c r="E421" s="9"/>
      <c r="F421" s="9"/>
      <c r="G421" s="9"/>
      <c r="H421" s="441"/>
      <c r="I421" s="441"/>
      <c r="J42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22" spans="1:10" x14ac:dyDescent="0.35">
      <c r="A422" s="9"/>
      <c r="B422" s="9"/>
      <c r="C422" s="9"/>
      <c r="D422" s="9"/>
      <c r="E422" s="9"/>
      <c r="F422" s="9"/>
      <c r="G422" s="9"/>
      <c r="H422" s="441"/>
      <c r="I422" s="441"/>
      <c r="J42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23" spans="1:10" x14ac:dyDescent="0.35">
      <c r="A423" s="9"/>
      <c r="B423" s="9"/>
      <c r="C423" s="9"/>
      <c r="D423" s="9"/>
      <c r="E423" s="9"/>
      <c r="F423" s="9"/>
      <c r="G423" s="9"/>
      <c r="H423" s="441"/>
      <c r="I423" s="441"/>
      <c r="J42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24" spans="1:10" x14ac:dyDescent="0.35">
      <c r="A424" s="9"/>
      <c r="B424" s="9"/>
      <c r="C424" s="9"/>
      <c r="D424" s="9"/>
      <c r="E424" s="9"/>
      <c r="F424" s="9"/>
      <c r="G424" s="9"/>
      <c r="H424" s="441"/>
      <c r="I424" s="441"/>
      <c r="J42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25" spans="1:10" x14ac:dyDescent="0.35">
      <c r="A425" s="9"/>
      <c r="B425" s="9"/>
      <c r="C425" s="9"/>
      <c r="D425" s="9"/>
      <c r="E425" s="9"/>
      <c r="F425" s="9"/>
      <c r="G425" s="9"/>
      <c r="H425" s="441"/>
      <c r="I425" s="441"/>
      <c r="J42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26" spans="1:10" x14ac:dyDescent="0.35">
      <c r="A426" s="9"/>
      <c r="B426" s="9"/>
      <c r="C426" s="9"/>
      <c r="D426" s="9"/>
      <c r="E426" s="9"/>
      <c r="F426" s="9"/>
      <c r="G426" s="9"/>
      <c r="H426" s="441"/>
      <c r="I426" s="441"/>
      <c r="J42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27" spans="1:10" x14ac:dyDescent="0.35">
      <c r="A427" s="9"/>
      <c r="B427" s="9"/>
      <c r="C427" s="9"/>
      <c r="D427" s="9"/>
      <c r="E427" s="9"/>
      <c r="F427" s="9"/>
      <c r="G427" s="9"/>
      <c r="H427" s="441"/>
      <c r="I427" s="441"/>
      <c r="J42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28" spans="1:10" x14ac:dyDescent="0.35">
      <c r="A428" s="9"/>
      <c r="B428" s="9"/>
      <c r="C428" s="9"/>
      <c r="D428" s="9"/>
      <c r="E428" s="9"/>
      <c r="F428" s="9"/>
      <c r="G428" s="9"/>
      <c r="H428" s="441"/>
      <c r="I428" s="441"/>
      <c r="J42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29" spans="1:10" x14ac:dyDescent="0.35">
      <c r="A429" s="9"/>
      <c r="B429" s="9"/>
      <c r="C429" s="9"/>
      <c r="D429" s="9"/>
      <c r="E429" s="9"/>
      <c r="F429" s="9"/>
      <c r="G429" s="9"/>
      <c r="H429" s="441"/>
      <c r="I429" s="441"/>
      <c r="J42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30" spans="1:10" x14ac:dyDescent="0.35">
      <c r="A430" s="9"/>
      <c r="B430" s="9"/>
      <c r="C430" s="9"/>
      <c r="D430" s="9"/>
      <c r="E430" s="9"/>
      <c r="F430" s="9"/>
      <c r="G430" s="9"/>
      <c r="H430" s="441"/>
      <c r="I430" s="441"/>
      <c r="J43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31" spans="1:10" x14ac:dyDescent="0.35">
      <c r="A431" s="9"/>
      <c r="B431" s="9"/>
      <c r="C431" s="9"/>
      <c r="D431" s="9"/>
      <c r="E431" s="9"/>
      <c r="F431" s="9"/>
      <c r="G431" s="9"/>
      <c r="H431" s="441"/>
      <c r="I431" s="441"/>
      <c r="J43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32" spans="1:10" x14ac:dyDescent="0.35">
      <c r="A432" s="9"/>
      <c r="B432" s="9"/>
      <c r="C432" s="9"/>
      <c r="D432" s="9"/>
      <c r="E432" s="9"/>
      <c r="F432" s="9"/>
      <c r="G432" s="9"/>
      <c r="H432" s="441"/>
      <c r="I432" s="441"/>
      <c r="J43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33" spans="1:10" x14ac:dyDescent="0.35">
      <c r="A433" s="9"/>
      <c r="B433" s="9"/>
      <c r="C433" s="9"/>
      <c r="D433" s="9"/>
      <c r="E433" s="9"/>
      <c r="F433" s="9"/>
      <c r="G433" s="9"/>
      <c r="H433" s="441"/>
      <c r="I433" s="441"/>
      <c r="J43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34" spans="1:10" x14ac:dyDescent="0.35">
      <c r="A434" s="9"/>
      <c r="B434" s="9"/>
      <c r="C434" s="9"/>
      <c r="D434" s="9"/>
      <c r="E434" s="9"/>
      <c r="F434" s="9"/>
      <c r="G434" s="9"/>
      <c r="H434" s="441"/>
      <c r="I434" s="441"/>
      <c r="J43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35" spans="1:10" x14ac:dyDescent="0.35">
      <c r="A435" s="189"/>
      <c r="B435" s="542"/>
      <c r="C435" s="8"/>
      <c r="D435" s="8"/>
      <c r="E435" s="236"/>
      <c r="F435" s="226"/>
      <c r="G435" s="226"/>
      <c r="H435" s="447"/>
      <c r="I435" s="448"/>
      <c r="J43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36" spans="1:10" x14ac:dyDescent="0.35">
      <c r="A436" s="189"/>
      <c r="B436" s="542"/>
      <c r="C436" s="8"/>
      <c r="D436" s="8"/>
      <c r="E436" s="236"/>
      <c r="F436" s="226"/>
      <c r="G436" s="226"/>
      <c r="H436" s="447"/>
      <c r="I436" s="448"/>
      <c r="J43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37" spans="1:10" x14ac:dyDescent="0.35">
      <c r="A437" s="189"/>
      <c r="B437" s="542"/>
      <c r="C437" s="8"/>
      <c r="D437" s="8"/>
      <c r="E437" s="236"/>
      <c r="F437" s="226"/>
      <c r="G437" s="226"/>
      <c r="H437" s="447"/>
      <c r="I437" s="448"/>
      <c r="J43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38" spans="1:10" x14ac:dyDescent="0.35">
      <c r="A438" s="189"/>
      <c r="B438" s="542"/>
      <c r="C438" s="8"/>
      <c r="D438" s="8"/>
      <c r="E438" s="236"/>
      <c r="F438" s="226"/>
      <c r="G438" s="226"/>
      <c r="H438" s="447"/>
      <c r="I438" s="448"/>
      <c r="J43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39" spans="1:10" x14ac:dyDescent="0.35">
      <c r="A439" s="189"/>
      <c r="B439" s="542"/>
      <c r="C439" s="8"/>
      <c r="D439" s="8"/>
      <c r="E439" s="236"/>
      <c r="F439" s="226"/>
      <c r="G439" s="226"/>
      <c r="H439" s="447"/>
      <c r="I439" s="448"/>
      <c r="J43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40" spans="1:10" x14ac:dyDescent="0.35">
      <c r="A440" s="189"/>
      <c r="B440" s="542"/>
      <c r="C440" s="8"/>
      <c r="D440" s="8"/>
      <c r="E440" s="236"/>
      <c r="F440" s="226"/>
      <c r="G440" s="226"/>
      <c r="H440" s="447"/>
      <c r="I440" s="448"/>
      <c r="J44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41" spans="1:10" x14ac:dyDescent="0.35">
      <c r="A441" s="189"/>
      <c r="B441" s="542"/>
      <c r="C441" s="8"/>
      <c r="D441" s="8"/>
      <c r="E441" s="238"/>
      <c r="F441" s="239"/>
      <c r="G441" s="235"/>
      <c r="H441" s="449"/>
      <c r="I441" s="450"/>
      <c r="J44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42" spans="1:10" x14ac:dyDescent="0.35">
      <c r="A442" s="189"/>
      <c r="B442" s="541"/>
      <c r="C442" s="8"/>
      <c r="D442" s="8"/>
      <c r="E442" s="236"/>
      <c r="F442" s="226"/>
      <c r="G442" s="226"/>
      <c r="H442" s="447"/>
      <c r="I442" s="448"/>
      <c r="J44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43" spans="1:10" x14ac:dyDescent="0.35">
      <c r="A443" s="189"/>
      <c r="B443" s="542"/>
      <c r="C443" s="8"/>
      <c r="D443" s="8"/>
      <c r="E443" s="236"/>
      <c r="F443" s="226"/>
      <c r="G443" s="226"/>
      <c r="H443" s="447"/>
      <c r="I443" s="448"/>
      <c r="J44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44" spans="1:10" x14ac:dyDescent="0.35">
      <c r="A444" s="189"/>
      <c r="B444" s="542"/>
      <c r="C444" s="8"/>
      <c r="D444" s="8"/>
      <c r="E444" s="236"/>
      <c r="F444" s="226"/>
      <c r="G444" s="226"/>
      <c r="H444" s="447"/>
      <c r="I444" s="448"/>
      <c r="J44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45" spans="1:10" x14ac:dyDescent="0.35">
      <c r="A445" s="189"/>
      <c r="B445" s="542"/>
      <c r="C445" s="8"/>
      <c r="D445" s="8"/>
      <c r="E445" s="236"/>
      <c r="F445" s="226"/>
      <c r="G445" s="226"/>
      <c r="H445" s="447"/>
      <c r="I445" s="448"/>
      <c r="J44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46" spans="1:10" x14ac:dyDescent="0.35">
      <c r="A446" s="189"/>
      <c r="B446" s="542"/>
      <c r="C446" s="8"/>
      <c r="D446" s="8"/>
      <c r="E446" s="236"/>
      <c r="F446" s="226"/>
      <c r="G446" s="226"/>
      <c r="H446" s="447"/>
      <c r="I446" s="448"/>
      <c r="J44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47" spans="1:10" x14ac:dyDescent="0.35">
      <c r="A447" s="189"/>
      <c r="B447" s="542"/>
      <c r="C447" s="8"/>
      <c r="D447" s="8"/>
      <c r="E447" s="236"/>
      <c r="F447" s="226"/>
      <c r="G447" s="226"/>
      <c r="H447" s="447"/>
      <c r="I447" s="448"/>
      <c r="J44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48" spans="1:10" x14ac:dyDescent="0.35">
      <c r="A448" s="189"/>
      <c r="B448" s="542"/>
      <c r="C448" s="8"/>
      <c r="D448" s="8"/>
      <c r="E448" s="236"/>
      <c r="F448" s="226"/>
      <c r="G448" s="226"/>
      <c r="H448" s="447"/>
      <c r="I448" s="448"/>
      <c r="J44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49" spans="1:10" x14ac:dyDescent="0.35">
      <c r="A449" s="189"/>
      <c r="B449" s="542"/>
      <c r="C449" s="8"/>
      <c r="D449" s="8"/>
      <c r="E449" s="236"/>
      <c r="F449" s="226"/>
      <c r="G449" s="226"/>
      <c r="H449" s="447"/>
      <c r="I449" s="448"/>
      <c r="J449"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50" spans="1:10" x14ac:dyDescent="0.35">
      <c r="A450" s="189"/>
      <c r="B450" s="542"/>
      <c r="C450" s="8"/>
      <c r="D450" s="8"/>
      <c r="E450" s="236"/>
      <c r="F450" s="226"/>
      <c r="G450" s="226"/>
      <c r="H450" s="447"/>
      <c r="I450" s="448"/>
      <c r="J450"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51" spans="1:10" x14ac:dyDescent="0.35">
      <c r="A451" s="189"/>
      <c r="B451" s="542"/>
      <c r="C451" s="8"/>
      <c r="D451" s="8"/>
      <c r="E451" s="236"/>
      <c r="F451" s="226"/>
      <c r="G451" s="226"/>
      <c r="H451" s="447"/>
      <c r="I451" s="448"/>
      <c r="J451"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52" spans="1:10" x14ac:dyDescent="0.35">
      <c r="A452" s="189"/>
      <c r="B452" s="542"/>
      <c r="C452" s="8"/>
      <c r="D452" s="8"/>
      <c r="E452" s="236"/>
      <c r="F452" s="226"/>
      <c r="G452" s="226"/>
      <c r="H452" s="447"/>
      <c r="I452" s="448"/>
      <c r="J452"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53" spans="1:10" x14ac:dyDescent="0.35">
      <c r="A453" s="189"/>
      <c r="B453" s="542"/>
      <c r="C453" s="8"/>
      <c r="D453" s="8"/>
      <c r="E453" s="236"/>
      <c r="F453" s="226"/>
      <c r="G453" s="226"/>
      <c r="H453" s="447"/>
      <c r="I453" s="448"/>
      <c r="J453"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54" spans="1:10" x14ac:dyDescent="0.35">
      <c r="A454" s="189"/>
      <c r="B454" s="542"/>
      <c r="C454" s="8"/>
      <c r="D454" s="8"/>
      <c r="E454" s="236"/>
      <c r="F454" s="226"/>
      <c r="G454" s="226"/>
      <c r="H454" s="447"/>
      <c r="I454" s="448"/>
      <c r="J454"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55" spans="1:10" x14ac:dyDescent="0.35">
      <c r="A455" s="189"/>
      <c r="B455" s="542"/>
      <c r="C455" s="8"/>
      <c r="D455" s="8"/>
      <c r="E455" s="236"/>
      <c r="F455" s="226"/>
      <c r="G455" s="226"/>
      <c r="H455" s="447"/>
      <c r="I455" s="448"/>
      <c r="J455"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56" spans="1:10" x14ac:dyDescent="0.35">
      <c r="A456" s="189"/>
      <c r="B456" s="542"/>
      <c r="C456" s="8"/>
      <c r="D456" s="8"/>
      <c r="E456" s="236"/>
      <c r="F456" s="226"/>
      <c r="G456" s="226"/>
      <c r="H456" s="447"/>
      <c r="I456" s="448"/>
      <c r="J456"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57" spans="1:10" x14ac:dyDescent="0.35">
      <c r="A457" s="189"/>
      <c r="B457" s="542"/>
      <c r="C457" s="8"/>
      <c r="D457" s="8"/>
      <c r="E457" s="236"/>
      <c r="F457" s="226"/>
      <c r="G457" s="226"/>
      <c r="H457" s="447"/>
      <c r="I457" s="448"/>
      <c r="J457"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58" spans="1:10" x14ac:dyDescent="0.35">
      <c r="A458" s="189"/>
      <c r="B458" s="542"/>
      <c r="C458" s="8"/>
      <c r="D458" s="8"/>
      <c r="E458" s="238"/>
      <c r="F458" s="239"/>
      <c r="G458" s="235"/>
      <c r="H458" s="449"/>
      <c r="I458" s="450"/>
      <c r="J458" s="513" t="str">
        <f>IF(AgeSex22[[#This Row],[Total Spending After Applying Truncation at the Member Level]]+AgeSex22[[#This Row],[Total Dollars Excluded from Spending After Applying Truncation at the Member Level]]=AgeSex22[[#This Row],[Total Spending before Truncation is Applied]], "TRUE", (AgeSex22[[#This Row],[Total Spending After Applying Truncation at the Member Level]]+AgeSex22[[#This Row],[Total Dollars Excluded from Spending After Applying Truncation at the Member Level]])-AgeSex22[[#This Row],[Total Spending before Truncation is Applied]])</f>
        <v>TRUE</v>
      </c>
    </row>
    <row r="459" spans="1:10" x14ac:dyDescent="0.35">
      <c r="A459" s="189"/>
      <c r="B459" s="542"/>
      <c r="C459" s="8"/>
      <c r="D459" s="8"/>
      <c r="E459" s="236"/>
      <c r="F459" s="226"/>
      <c r="G459" s="226"/>
      <c r="H459" s="226"/>
      <c r="I459" s="237"/>
      <c r="J459" s="226"/>
    </row>
    <row r="460" spans="1:10" x14ac:dyDescent="0.35">
      <c r="A460" s="189"/>
      <c r="B460" s="542"/>
      <c r="C460" s="8"/>
      <c r="D460" s="8"/>
      <c r="E460" s="236"/>
      <c r="F460" s="226"/>
      <c r="G460" s="226"/>
      <c r="H460" s="226"/>
      <c r="I460" s="237"/>
      <c r="J460" s="226"/>
    </row>
    <row r="461" spans="1:10" x14ac:dyDescent="0.35">
      <c r="A461" s="189"/>
      <c r="B461" s="542"/>
      <c r="C461" s="8"/>
      <c r="D461" s="8"/>
      <c r="E461" s="236"/>
      <c r="F461" s="226"/>
      <c r="G461" s="226"/>
      <c r="H461" s="226"/>
      <c r="I461" s="237"/>
      <c r="J461" s="226"/>
    </row>
    <row r="462" spans="1:10" x14ac:dyDescent="0.35">
      <c r="A462" s="189"/>
      <c r="B462" s="542"/>
      <c r="C462" s="8"/>
      <c r="D462" s="8"/>
      <c r="E462" s="236"/>
      <c r="F462" s="226"/>
      <c r="G462" s="226"/>
      <c r="H462" s="226"/>
      <c r="I462" s="237"/>
      <c r="J462" s="226"/>
    </row>
    <row r="463" spans="1:10" x14ac:dyDescent="0.35">
      <c r="A463" s="189"/>
      <c r="B463" s="542"/>
      <c r="C463" s="8"/>
      <c r="D463" s="8"/>
      <c r="E463" s="236"/>
      <c r="F463" s="226"/>
      <c r="G463" s="226"/>
      <c r="H463" s="226"/>
      <c r="I463" s="237"/>
      <c r="J463" s="226"/>
    </row>
    <row r="464" spans="1:10" x14ac:dyDescent="0.35">
      <c r="A464" s="189"/>
      <c r="B464" s="542"/>
      <c r="C464" s="8"/>
      <c r="D464" s="8"/>
      <c r="E464" s="236"/>
      <c r="F464" s="226"/>
      <c r="G464" s="226"/>
      <c r="H464" s="226"/>
      <c r="I464" s="237"/>
      <c r="J464" s="226"/>
    </row>
    <row r="465" spans="1:10" x14ac:dyDescent="0.35">
      <c r="A465" s="189"/>
      <c r="B465" s="542"/>
      <c r="C465" s="8"/>
      <c r="D465" s="8"/>
      <c r="E465" s="236"/>
      <c r="F465" s="226"/>
      <c r="G465" s="226"/>
      <c r="H465" s="226"/>
      <c r="I465" s="237"/>
      <c r="J465" s="226"/>
    </row>
    <row r="466" spans="1:10" x14ac:dyDescent="0.35">
      <c r="A466" s="189"/>
      <c r="B466" s="542"/>
      <c r="C466" s="8"/>
      <c r="D466" s="8"/>
      <c r="E466" s="236"/>
      <c r="F466" s="226"/>
      <c r="G466" s="226"/>
      <c r="H466" s="226"/>
      <c r="I466" s="237"/>
      <c r="J466" s="226"/>
    </row>
    <row r="467" spans="1:10" x14ac:dyDescent="0.35">
      <c r="A467" s="189"/>
      <c r="B467" s="542"/>
      <c r="C467" s="8"/>
      <c r="D467" s="8"/>
      <c r="E467" s="236"/>
      <c r="F467" s="226"/>
      <c r="G467" s="226"/>
      <c r="H467" s="226"/>
      <c r="I467" s="237"/>
      <c r="J467" s="226"/>
    </row>
    <row r="468" spans="1:10" x14ac:dyDescent="0.35">
      <c r="A468" s="189"/>
      <c r="B468" s="541"/>
      <c r="C468" s="8"/>
      <c r="D468" s="8"/>
      <c r="E468" s="236"/>
      <c r="F468" s="226"/>
      <c r="G468" s="226"/>
      <c r="H468" s="226"/>
      <c r="I468" s="237"/>
      <c r="J468" s="226"/>
    </row>
    <row r="469" spans="1:10" x14ac:dyDescent="0.35">
      <c r="A469" s="189"/>
      <c r="B469" s="542"/>
      <c r="C469" s="8"/>
      <c r="D469" s="8"/>
      <c r="E469" s="236"/>
      <c r="F469" s="226"/>
      <c r="G469" s="226"/>
      <c r="H469" s="226"/>
      <c r="I469" s="237"/>
      <c r="J469" s="226"/>
    </row>
    <row r="470" spans="1:10" x14ac:dyDescent="0.35">
      <c r="A470" s="189"/>
      <c r="B470" s="542"/>
      <c r="C470" s="8"/>
      <c r="D470" s="8"/>
      <c r="E470" s="236"/>
      <c r="F470" s="226"/>
      <c r="G470" s="226"/>
      <c r="H470" s="226"/>
      <c r="I470" s="237"/>
      <c r="J470" s="226"/>
    </row>
    <row r="471" spans="1:10" x14ac:dyDescent="0.35">
      <c r="A471" s="189"/>
      <c r="B471" s="542"/>
      <c r="C471" s="8"/>
      <c r="D471" s="8"/>
      <c r="E471" s="236"/>
      <c r="F471" s="226"/>
      <c r="G471" s="226"/>
      <c r="H471" s="226"/>
      <c r="I471" s="237"/>
      <c r="J471" s="226"/>
    </row>
    <row r="472" spans="1:10" x14ac:dyDescent="0.35">
      <c r="A472" s="189"/>
      <c r="B472" s="542"/>
      <c r="C472" s="8"/>
      <c r="D472" s="8"/>
      <c r="E472" s="236"/>
      <c r="F472" s="226"/>
      <c r="G472" s="226"/>
      <c r="H472" s="226"/>
      <c r="I472" s="237"/>
      <c r="J472" s="226"/>
    </row>
    <row r="473" spans="1:10" x14ac:dyDescent="0.35">
      <c r="A473" s="189"/>
      <c r="B473" s="542"/>
      <c r="C473" s="8"/>
      <c r="D473" s="8"/>
      <c r="E473" s="236"/>
      <c r="F473" s="226"/>
      <c r="G473" s="226"/>
      <c r="H473" s="226"/>
      <c r="I473" s="237"/>
      <c r="J473" s="226"/>
    </row>
    <row r="474" spans="1:10" x14ac:dyDescent="0.35">
      <c r="A474" s="189"/>
      <c r="B474" s="542"/>
      <c r="C474" s="8"/>
      <c r="D474" s="8"/>
      <c r="E474" s="236"/>
      <c r="F474" s="226"/>
      <c r="G474" s="226"/>
      <c r="H474" s="226"/>
      <c r="I474" s="237"/>
      <c r="J474" s="226"/>
    </row>
    <row r="475" spans="1:10" x14ac:dyDescent="0.35">
      <c r="A475" s="189"/>
      <c r="B475" s="542"/>
      <c r="C475" s="8"/>
      <c r="D475" s="8"/>
      <c r="E475" s="236"/>
      <c r="F475" s="226"/>
      <c r="G475" s="226"/>
      <c r="H475" s="226"/>
      <c r="I475" s="237"/>
      <c r="J475" s="226"/>
    </row>
    <row r="476" spans="1:10" x14ac:dyDescent="0.35">
      <c r="A476" s="189"/>
      <c r="B476" s="542"/>
      <c r="C476" s="8"/>
      <c r="D476" s="8"/>
      <c r="E476" s="236"/>
      <c r="F476" s="226"/>
      <c r="G476" s="226"/>
      <c r="H476" s="226"/>
      <c r="I476" s="237"/>
      <c r="J476" s="226"/>
    </row>
    <row r="477" spans="1:10" x14ac:dyDescent="0.35">
      <c r="A477" s="189"/>
      <c r="B477" s="542"/>
      <c r="C477" s="8"/>
      <c r="D477" s="8"/>
      <c r="E477" s="236"/>
      <c r="F477" s="226"/>
      <c r="G477" s="226"/>
      <c r="H477" s="226"/>
      <c r="I477" s="237"/>
      <c r="J477" s="226"/>
    </row>
    <row r="478" spans="1:10" x14ac:dyDescent="0.35">
      <c r="A478" s="189"/>
      <c r="B478" s="542"/>
      <c r="C478" s="8"/>
      <c r="D478" s="8"/>
      <c r="E478" s="236"/>
      <c r="F478" s="226"/>
      <c r="G478" s="226"/>
      <c r="H478" s="226"/>
      <c r="I478" s="237"/>
      <c r="J478" s="226"/>
    </row>
    <row r="479" spans="1:10" x14ac:dyDescent="0.35">
      <c r="A479" s="189"/>
      <c r="B479" s="542"/>
      <c r="C479" s="8"/>
      <c r="D479" s="8"/>
      <c r="E479" s="236"/>
      <c r="F479" s="226"/>
      <c r="G479" s="226"/>
      <c r="H479" s="226"/>
      <c r="I479" s="237"/>
      <c r="J479" s="226"/>
    </row>
    <row r="480" spans="1:10" x14ac:dyDescent="0.35">
      <c r="A480" s="189"/>
      <c r="B480" s="542"/>
      <c r="C480" s="8"/>
      <c r="D480" s="8"/>
      <c r="E480" s="236"/>
      <c r="F480" s="226"/>
      <c r="G480" s="226"/>
      <c r="H480" s="226"/>
      <c r="I480" s="237"/>
      <c r="J480" s="226"/>
    </row>
    <row r="481" spans="1:10" x14ac:dyDescent="0.35">
      <c r="A481" s="189"/>
      <c r="B481" s="542"/>
      <c r="C481" s="8"/>
      <c r="D481" s="8"/>
      <c r="E481" s="236"/>
      <c r="F481" s="226"/>
      <c r="G481" s="226"/>
      <c r="H481" s="226"/>
      <c r="I481" s="237"/>
      <c r="J481" s="226"/>
    </row>
    <row r="482" spans="1:10" x14ac:dyDescent="0.35">
      <c r="A482" s="189"/>
      <c r="B482" s="542"/>
      <c r="C482" s="8"/>
      <c r="D482" s="8"/>
      <c r="E482" s="236"/>
      <c r="F482" s="226"/>
      <c r="G482" s="226"/>
      <c r="H482" s="226"/>
      <c r="I482" s="237"/>
      <c r="J482" s="226"/>
    </row>
    <row r="483" spans="1:10" x14ac:dyDescent="0.35">
      <c r="A483" s="189"/>
      <c r="B483" s="542"/>
      <c r="C483" s="8"/>
      <c r="D483" s="8"/>
      <c r="E483" s="236"/>
      <c r="F483" s="226"/>
      <c r="G483" s="226"/>
      <c r="H483" s="226"/>
      <c r="I483" s="237"/>
      <c r="J483" s="226"/>
    </row>
    <row r="484" spans="1:10" x14ac:dyDescent="0.35">
      <c r="A484" s="189"/>
      <c r="B484" s="542"/>
      <c r="C484" s="8"/>
      <c r="D484" s="8"/>
      <c r="E484" s="236"/>
      <c r="F484" s="226"/>
      <c r="G484" s="226"/>
      <c r="H484" s="226"/>
      <c r="I484" s="237"/>
      <c r="J484" s="226"/>
    </row>
    <row r="485" spans="1:10" x14ac:dyDescent="0.35">
      <c r="A485" s="189"/>
      <c r="B485" s="541"/>
      <c r="C485" s="8"/>
      <c r="D485" s="8"/>
      <c r="E485" s="236"/>
      <c r="F485" s="226"/>
      <c r="G485" s="226"/>
      <c r="H485" s="226"/>
      <c r="I485" s="237"/>
      <c r="J485" s="226"/>
    </row>
    <row r="486" spans="1:10" x14ac:dyDescent="0.35">
      <c r="A486" s="189"/>
      <c r="B486" s="542"/>
      <c r="C486" s="8"/>
      <c r="D486" s="8"/>
      <c r="E486" s="236"/>
      <c r="F486" s="226"/>
      <c r="G486" s="226"/>
      <c r="H486" s="226"/>
      <c r="I486" s="237"/>
      <c r="J486" s="226"/>
    </row>
    <row r="487" spans="1:10" x14ac:dyDescent="0.35">
      <c r="A487" s="189"/>
      <c r="B487" s="542"/>
      <c r="C487" s="8"/>
      <c r="D487" s="8"/>
      <c r="E487" s="236"/>
      <c r="F487" s="226"/>
      <c r="G487" s="226"/>
      <c r="H487" s="226"/>
      <c r="I487" s="237"/>
      <c r="J487" s="226"/>
    </row>
    <row r="488" spans="1:10" x14ac:dyDescent="0.35">
      <c r="A488" s="189"/>
      <c r="B488" s="542"/>
      <c r="C488" s="8"/>
      <c r="D488" s="8"/>
      <c r="E488" s="236"/>
      <c r="F488" s="226"/>
      <c r="G488" s="226"/>
      <c r="H488" s="226"/>
      <c r="I488" s="237"/>
      <c r="J488" s="226"/>
    </row>
    <row r="489" spans="1:10" x14ac:dyDescent="0.35">
      <c r="A489" s="189"/>
      <c r="B489" s="542"/>
      <c r="C489" s="8"/>
      <c r="D489" s="8"/>
      <c r="E489" s="236"/>
      <c r="F489" s="226"/>
      <c r="G489" s="226"/>
      <c r="H489" s="226"/>
      <c r="I489" s="237"/>
      <c r="J489" s="226"/>
    </row>
    <row r="490" spans="1:10" x14ac:dyDescent="0.35">
      <c r="A490" s="189"/>
      <c r="B490" s="542"/>
      <c r="C490" s="8"/>
      <c r="D490" s="8"/>
      <c r="E490" s="236"/>
      <c r="F490" s="226"/>
      <c r="G490" s="226"/>
      <c r="H490" s="226"/>
      <c r="I490" s="237"/>
      <c r="J490" s="226"/>
    </row>
    <row r="491" spans="1:10" x14ac:dyDescent="0.35">
      <c r="A491" s="189"/>
      <c r="B491" s="542"/>
      <c r="C491" s="8"/>
      <c r="D491" s="8"/>
      <c r="E491" s="236"/>
      <c r="F491" s="226"/>
      <c r="G491" s="226"/>
      <c r="H491" s="226"/>
      <c r="I491" s="237"/>
      <c r="J491" s="226"/>
    </row>
    <row r="492" spans="1:10" x14ac:dyDescent="0.35">
      <c r="A492" s="189"/>
      <c r="B492" s="542"/>
      <c r="C492" s="8"/>
      <c r="D492" s="8"/>
      <c r="E492" s="236"/>
      <c r="F492" s="226"/>
      <c r="G492" s="226"/>
      <c r="H492" s="226"/>
      <c r="I492" s="237"/>
      <c r="J492" s="226"/>
    </row>
    <row r="493" spans="1:10" x14ac:dyDescent="0.35">
      <c r="A493" s="189"/>
      <c r="B493" s="542"/>
      <c r="C493" s="8"/>
      <c r="D493" s="8"/>
      <c r="E493" s="236"/>
      <c r="F493" s="226"/>
      <c r="G493" s="226"/>
      <c r="H493" s="226"/>
      <c r="I493" s="237"/>
      <c r="J493" s="226"/>
    </row>
    <row r="494" spans="1:10" x14ac:dyDescent="0.35">
      <c r="A494" s="189"/>
      <c r="B494" s="542"/>
      <c r="C494" s="8"/>
      <c r="D494" s="8"/>
      <c r="E494" s="236"/>
      <c r="F494" s="226"/>
      <c r="G494" s="226"/>
      <c r="H494" s="226"/>
      <c r="I494" s="237"/>
      <c r="J494" s="226"/>
    </row>
    <row r="495" spans="1:10" x14ac:dyDescent="0.35">
      <c r="A495" s="189"/>
      <c r="B495" s="542"/>
      <c r="C495" s="8"/>
      <c r="D495" s="8"/>
      <c r="E495" s="236"/>
      <c r="F495" s="226"/>
      <c r="G495" s="226"/>
      <c r="H495" s="226"/>
      <c r="I495" s="237"/>
      <c r="J495" s="226"/>
    </row>
    <row r="496" spans="1:10" x14ac:dyDescent="0.35">
      <c r="A496" s="189"/>
      <c r="B496" s="542"/>
      <c r="C496" s="8"/>
      <c r="D496" s="8"/>
      <c r="E496" s="236"/>
      <c r="F496" s="226"/>
      <c r="G496" s="226"/>
      <c r="H496" s="226"/>
      <c r="I496" s="237"/>
      <c r="J496" s="226"/>
    </row>
    <row r="497" spans="1:10" x14ac:dyDescent="0.35">
      <c r="A497" s="189"/>
      <c r="B497" s="542"/>
      <c r="C497" s="8"/>
      <c r="D497" s="8"/>
      <c r="E497" s="236"/>
      <c r="F497" s="226"/>
      <c r="G497" s="226"/>
      <c r="H497" s="226"/>
      <c r="I497" s="237"/>
      <c r="J497" s="226"/>
    </row>
    <row r="498" spans="1:10" x14ac:dyDescent="0.35">
      <c r="A498" s="189"/>
      <c r="B498" s="542"/>
      <c r="C498" s="8"/>
      <c r="D498" s="8"/>
      <c r="E498" s="236"/>
      <c r="F498" s="226"/>
      <c r="G498" s="226"/>
      <c r="H498" s="226"/>
      <c r="I498" s="237"/>
      <c r="J498" s="226"/>
    </row>
    <row r="499" spans="1:10" x14ac:dyDescent="0.35">
      <c r="A499" s="189"/>
      <c r="B499" s="542"/>
      <c r="C499" s="8"/>
      <c r="D499" s="8"/>
      <c r="E499" s="236"/>
      <c r="F499" s="226"/>
      <c r="G499" s="226"/>
      <c r="H499" s="226"/>
      <c r="I499" s="237"/>
      <c r="J499" s="226"/>
    </row>
    <row r="500" spans="1:10" x14ac:dyDescent="0.35">
      <c r="A500" s="189"/>
      <c r="B500" s="542"/>
      <c r="C500" s="8"/>
      <c r="D500" s="8"/>
      <c r="E500" s="236"/>
      <c r="F500" s="226"/>
      <c r="G500" s="226"/>
      <c r="H500" s="226"/>
      <c r="I500" s="237"/>
      <c r="J500" s="226"/>
    </row>
    <row r="501" spans="1:10" x14ac:dyDescent="0.35">
      <c r="A501" s="189"/>
      <c r="B501" s="542"/>
      <c r="C501" s="8"/>
      <c r="D501" s="8"/>
      <c r="E501" s="236"/>
      <c r="F501" s="226"/>
      <c r="G501" s="226"/>
      <c r="H501" s="226"/>
      <c r="I501" s="237"/>
      <c r="J501" s="226"/>
    </row>
    <row r="502" spans="1:10" x14ac:dyDescent="0.35">
      <c r="A502" s="189"/>
      <c r="B502" s="541"/>
      <c r="C502" s="8"/>
      <c r="D502" s="8"/>
      <c r="E502" s="236"/>
      <c r="F502" s="226"/>
      <c r="G502" s="226"/>
      <c r="H502" s="226"/>
      <c r="I502" s="237"/>
      <c r="J502" s="226"/>
    </row>
    <row r="503" spans="1:10" x14ac:dyDescent="0.35">
      <c r="A503" s="189"/>
      <c r="B503" s="542"/>
      <c r="C503" s="8"/>
      <c r="D503" s="8"/>
      <c r="E503" s="236"/>
      <c r="F503" s="226"/>
      <c r="G503" s="226"/>
      <c r="H503" s="226"/>
      <c r="I503" s="237"/>
      <c r="J503" s="226"/>
    </row>
    <row r="504" spans="1:10" x14ac:dyDescent="0.35">
      <c r="A504" s="189"/>
      <c r="B504" s="542"/>
      <c r="C504" s="8"/>
      <c r="D504" s="8"/>
      <c r="E504" s="236"/>
      <c r="F504" s="226"/>
      <c r="G504" s="226"/>
      <c r="H504" s="226"/>
      <c r="I504" s="237"/>
      <c r="J504" s="226"/>
    </row>
    <row r="505" spans="1:10" x14ac:dyDescent="0.35">
      <c r="A505" s="189"/>
      <c r="B505" s="542"/>
      <c r="C505" s="8"/>
      <c r="D505" s="8"/>
      <c r="E505" s="236"/>
      <c r="F505" s="226"/>
      <c r="G505" s="226"/>
      <c r="H505" s="226"/>
      <c r="I505" s="237"/>
      <c r="J505" s="226"/>
    </row>
    <row r="506" spans="1:10" x14ac:dyDescent="0.35">
      <c r="A506" s="189"/>
      <c r="B506" s="542"/>
      <c r="C506" s="8"/>
      <c r="D506" s="8"/>
      <c r="E506" s="236"/>
      <c r="F506" s="226"/>
      <c r="G506" s="226"/>
      <c r="H506" s="226"/>
      <c r="I506" s="237"/>
      <c r="J506" s="226"/>
    </row>
    <row r="507" spans="1:10" x14ac:dyDescent="0.35">
      <c r="A507" s="189"/>
      <c r="B507" s="542"/>
      <c r="C507" s="8"/>
      <c r="D507" s="8"/>
      <c r="E507" s="236"/>
      <c r="F507" s="226"/>
      <c r="G507" s="226"/>
      <c r="H507" s="226"/>
      <c r="I507" s="237"/>
      <c r="J507" s="226"/>
    </row>
    <row r="508" spans="1:10" x14ac:dyDescent="0.35">
      <c r="A508" s="189"/>
      <c r="B508" s="542"/>
      <c r="C508" s="8"/>
      <c r="D508" s="8"/>
      <c r="E508" s="236"/>
      <c r="F508" s="226"/>
      <c r="G508" s="226"/>
      <c r="H508" s="226"/>
      <c r="I508" s="237"/>
      <c r="J508" s="226"/>
    </row>
    <row r="509" spans="1:10" x14ac:dyDescent="0.35">
      <c r="A509" s="189"/>
      <c r="B509" s="542"/>
      <c r="C509" s="8"/>
      <c r="D509" s="8"/>
      <c r="E509" s="236"/>
      <c r="F509" s="226"/>
      <c r="G509" s="226"/>
      <c r="H509" s="226"/>
      <c r="I509" s="237"/>
      <c r="J509" s="226"/>
    </row>
    <row r="510" spans="1:10" x14ac:dyDescent="0.35">
      <c r="A510" s="189"/>
      <c r="B510" s="542"/>
      <c r="C510" s="8"/>
      <c r="D510" s="8"/>
      <c r="E510" s="236"/>
      <c r="F510" s="226"/>
      <c r="G510" s="226"/>
      <c r="H510" s="226"/>
      <c r="I510" s="237"/>
      <c r="J510" s="226"/>
    </row>
    <row r="511" spans="1:10" x14ac:dyDescent="0.35">
      <c r="A511" s="189"/>
      <c r="B511" s="542"/>
      <c r="C511" s="8"/>
      <c r="D511" s="8"/>
      <c r="E511" s="236"/>
      <c r="F511" s="226"/>
      <c r="G511" s="226"/>
      <c r="H511" s="226"/>
      <c r="I511" s="237"/>
      <c r="J511" s="226"/>
    </row>
    <row r="512" spans="1:10" x14ac:dyDescent="0.35">
      <c r="A512" s="189"/>
      <c r="B512" s="542"/>
      <c r="C512" s="8"/>
      <c r="D512" s="8"/>
      <c r="E512" s="236"/>
      <c r="F512" s="226"/>
      <c r="G512" s="226"/>
      <c r="H512" s="226"/>
      <c r="I512" s="237"/>
      <c r="J512" s="226"/>
    </row>
    <row r="513" spans="1:10" x14ac:dyDescent="0.35">
      <c r="A513" s="189"/>
      <c r="B513" s="542"/>
      <c r="C513" s="8"/>
      <c r="D513" s="8"/>
      <c r="E513" s="236"/>
      <c r="F513" s="226"/>
      <c r="G513" s="226"/>
      <c r="H513" s="226"/>
      <c r="I513" s="237"/>
      <c r="J513" s="226"/>
    </row>
    <row r="514" spans="1:10" x14ac:dyDescent="0.35">
      <c r="A514" s="189"/>
      <c r="B514" s="542"/>
      <c r="C514" s="8"/>
      <c r="D514" s="8"/>
      <c r="E514" s="236"/>
      <c r="F514" s="226"/>
      <c r="G514" s="226"/>
      <c r="H514" s="226"/>
      <c r="I514" s="237"/>
      <c r="J514" s="226"/>
    </row>
    <row r="515" spans="1:10" x14ac:dyDescent="0.35">
      <c r="A515" s="189"/>
      <c r="B515" s="542"/>
      <c r="C515" s="8"/>
      <c r="D515" s="8"/>
      <c r="E515" s="236"/>
      <c r="F515" s="226"/>
      <c r="G515" s="226"/>
      <c r="H515" s="226"/>
      <c r="I515" s="237"/>
      <c r="J515" s="226"/>
    </row>
    <row r="516" spans="1:10" x14ac:dyDescent="0.35">
      <c r="A516" s="189"/>
      <c r="B516" s="542"/>
      <c r="C516" s="8"/>
      <c r="D516" s="8"/>
      <c r="E516" s="236"/>
      <c r="F516" s="226"/>
      <c r="G516" s="226"/>
      <c r="H516" s="226"/>
      <c r="I516" s="237"/>
      <c r="J516" s="226"/>
    </row>
    <row r="517" spans="1:10" x14ac:dyDescent="0.35">
      <c r="A517" s="189"/>
      <c r="B517" s="542"/>
      <c r="C517" s="8"/>
      <c r="D517" s="8"/>
      <c r="E517" s="236"/>
      <c r="F517" s="226"/>
      <c r="G517" s="226"/>
      <c r="H517" s="226"/>
      <c r="I517" s="237"/>
      <c r="J517" s="226"/>
    </row>
    <row r="518" spans="1:10" x14ac:dyDescent="0.35">
      <c r="A518" s="189"/>
      <c r="B518" s="542"/>
      <c r="C518" s="8"/>
      <c r="D518" s="8"/>
      <c r="E518" s="236"/>
      <c r="F518" s="226"/>
      <c r="G518" s="226"/>
      <c r="H518" s="226"/>
      <c r="I518" s="237"/>
      <c r="J518" s="226"/>
    </row>
    <row r="519" spans="1:10" x14ac:dyDescent="0.35">
      <c r="A519" s="189"/>
      <c r="B519" s="541"/>
      <c r="C519" s="8"/>
      <c r="D519" s="8"/>
      <c r="E519" s="236"/>
      <c r="F519" s="226"/>
      <c r="G519" s="226"/>
      <c r="H519" s="226"/>
      <c r="I519" s="237"/>
      <c r="J519" s="226"/>
    </row>
    <row r="520" spans="1:10" x14ac:dyDescent="0.35">
      <c r="A520" s="189"/>
      <c r="B520" s="542"/>
      <c r="C520" s="8"/>
      <c r="D520" s="8"/>
      <c r="E520" s="236"/>
      <c r="F520" s="226"/>
      <c r="G520" s="226"/>
      <c r="H520" s="226"/>
      <c r="I520" s="237"/>
      <c r="J520" s="226"/>
    </row>
    <row r="521" spans="1:10" x14ac:dyDescent="0.35">
      <c r="A521" s="189"/>
      <c r="B521" s="542"/>
      <c r="C521" s="8"/>
      <c r="D521" s="8"/>
      <c r="E521" s="236"/>
      <c r="F521" s="226"/>
      <c r="G521" s="226"/>
      <c r="H521" s="226"/>
      <c r="I521" s="237"/>
      <c r="J521" s="226"/>
    </row>
    <row r="522" spans="1:10" x14ac:dyDescent="0.35">
      <c r="A522" s="189"/>
      <c r="B522" s="542"/>
      <c r="C522" s="8"/>
      <c r="D522" s="8"/>
      <c r="E522" s="236"/>
      <c r="F522" s="226"/>
      <c r="G522" s="226"/>
      <c r="H522" s="226"/>
      <c r="I522" s="237"/>
      <c r="J522" s="226"/>
    </row>
    <row r="523" spans="1:10" x14ac:dyDescent="0.35">
      <c r="A523" s="189"/>
      <c r="B523" s="542"/>
      <c r="C523" s="8"/>
      <c r="D523" s="8"/>
      <c r="E523" s="236"/>
      <c r="F523" s="226"/>
      <c r="G523" s="226"/>
      <c r="H523" s="226"/>
      <c r="I523" s="237"/>
      <c r="J523" s="226"/>
    </row>
    <row r="524" spans="1:10" x14ac:dyDescent="0.35">
      <c r="A524" s="189"/>
      <c r="B524" s="542"/>
      <c r="C524" s="8"/>
      <c r="D524" s="8"/>
      <c r="E524" s="236"/>
      <c r="F524" s="226"/>
      <c r="G524" s="226"/>
      <c r="H524" s="226"/>
      <c r="I524" s="237"/>
      <c r="J524" s="226"/>
    </row>
    <row r="525" spans="1:10" x14ac:dyDescent="0.35">
      <c r="A525" s="189"/>
      <c r="B525" s="542"/>
      <c r="C525" s="8"/>
      <c r="D525" s="8"/>
      <c r="E525" s="236"/>
      <c r="F525" s="226"/>
      <c r="G525" s="226"/>
      <c r="H525" s="226"/>
      <c r="I525" s="237"/>
      <c r="J525" s="226"/>
    </row>
    <row r="526" spans="1:10" x14ac:dyDescent="0.35">
      <c r="A526" s="189"/>
      <c r="B526" s="542"/>
      <c r="C526" s="8"/>
      <c r="D526" s="8"/>
      <c r="E526" s="236"/>
      <c r="F526" s="226"/>
      <c r="G526" s="226"/>
      <c r="H526" s="226"/>
      <c r="I526" s="237"/>
      <c r="J526" s="226"/>
    </row>
    <row r="527" spans="1:10" x14ac:dyDescent="0.35">
      <c r="A527" s="189"/>
      <c r="B527" s="542"/>
      <c r="C527" s="8"/>
      <c r="D527" s="8"/>
      <c r="E527" s="236"/>
      <c r="F527" s="226"/>
      <c r="G527" s="226"/>
      <c r="H527" s="226"/>
      <c r="I527" s="237"/>
      <c r="J527" s="226"/>
    </row>
    <row r="528" spans="1:10" x14ac:dyDescent="0.35">
      <c r="A528" s="189"/>
      <c r="B528" s="542"/>
      <c r="C528" s="8"/>
      <c r="D528" s="8"/>
      <c r="E528" s="236"/>
      <c r="F528" s="226"/>
      <c r="G528" s="226"/>
      <c r="H528" s="226"/>
      <c r="I528" s="237"/>
      <c r="J528" s="226"/>
    </row>
    <row r="529" spans="1:10" x14ac:dyDescent="0.35">
      <c r="A529" s="189"/>
      <c r="B529" s="542"/>
      <c r="C529" s="8"/>
      <c r="D529" s="8"/>
      <c r="E529" s="236"/>
      <c r="F529" s="226"/>
      <c r="G529" s="226"/>
      <c r="H529" s="226"/>
      <c r="I529" s="237"/>
      <c r="J529" s="226"/>
    </row>
    <row r="530" spans="1:10" x14ac:dyDescent="0.35">
      <c r="A530" s="189"/>
      <c r="B530" s="542"/>
      <c r="C530" s="8"/>
      <c r="D530" s="8"/>
      <c r="E530" s="236"/>
      <c r="F530" s="226"/>
      <c r="G530" s="226"/>
      <c r="H530" s="226"/>
      <c r="I530" s="237"/>
      <c r="J530" s="226"/>
    </row>
    <row r="531" spans="1:10" x14ac:dyDescent="0.35">
      <c r="A531" s="189"/>
      <c r="B531" s="542"/>
      <c r="C531" s="8"/>
      <c r="D531" s="8"/>
      <c r="E531" s="236"/>
      <c r="F531" s="226"/>
      <c r="G531" s="226"/>
      <c r="H531" s="226"/>
      <c r="I531" s="237"/>
      <c r="J531" s="226"/>
    </row>
    <row r="532" spans="1:10" x14ac:dyDescent="0.35">
      <c r="A532" s="189"/>
      <c r="B532" s="542"/>
      <c r="C532" s="8"/>
      <c r="D532" s="8"/>
      <c r="E532" s="236"/>
      <c r="F532" s="226"/>
      <c r="G532" s="226"/>
      <c r="H532" s="226"/>
      <c r="I532" s="237"/>
      <c r="J532" s="226"/>
    </row>
    <row r="533" spans="1:10" x14ac:dyDescent="0.35">
      <c r="A533" s="189"/>
      <c r="B533" s="542"/>
      <c r="C533" s="8"/>
      <c r="D533" s="8"/>
      <c r="E533" s="236"/>
      <c r="F533" s="226"/>
      <c r="G533" s="226"/>
      <c r="H533" s="226"/>
      <c r="I533" s="237"/>
      <c r="J533" s="226"/>
    </row>
    <row r="534" spans="1:10" x14ac:dyDescent="0.35">
      <c r="A534" s="189"/>
      <c r="B534" s="542"/>
      <c r="C534" s="8"/>
      <c r="D534" s="8"/>
      <c r="E534" s="236"/>
      <c r="F534" s="226"/>
      <c r="G534" s="226"/>
      <c r="H534" s="226"/>
      <c r="I534" s="237"/>
      <c r="J534" s="226"/>
    </row>
    <row r="535" spans="1:10" x14ac:dyDescent="0.35">
      <c r="A535" s="189"/>
      <c r="B535" s="542"/>
      <c r="C535" s="8"/>
      <c r="D535" s="8"/>
      <c r="E535" s="236"/>
      <c r="F535" s="226"/>
      <c r="G535" s="226"/>
      <c r="H535" s="226"/>
      <c r="I535" s="237"/>
      <c r="J535" s="226"/>
    </row>
    <row r="536" spans="1:10" x14ac:dyDescent="0.35">
      <c r="A536" s="189"/>
      <c r="B536" s="541"/>
      <c r="C536" s="8"/>
      <c r="D536" s="8"/>
      <c r="E536" s="236"/>
      <c r="F536" s="226"/>
      <c r="G536" s="226"/>
      <c r="H536" s="226"/>
      <c r="I536" s="237"/>
      <c r="J536" s="226"/>
    </row>
    <row r="537" spans="1:10" x14ac:dyDescent="0.35">
      <c r="A537" s="189"/>
      <c r="B537" s="542"/>
      <c r="C537" s="8"/>
      <c r="D537" s="8"/>
      <c r="E537" s="236"/>
      <c r="F537" s="226"/>
      <c r="G537" s="226"/>
      <c r="H537" s="226"/>
      <c r="I537" s="237"/>
      <c r="J537" s="226"/>
    </row>
    <row r="538" spans="1:10" x14ac:dyDescent="0.35">
      <c r="A538" s="189"/>
      <c r="B538" s="542"/>
      <c r="C538" s="8"/>
      <c r="D538" s="8"/>
      <c r="E538" s="236"/>
      <c r="F538" s="226"/>
      <c r="G538" s="226"/>
      <c r="H538" s="226"/>
      <c r="I538" s="237"/>
      <c r="J538" s="226"/>
    </row>
    <row r="539" spans="1:10" x14ac:dyDescent="0.35">
      <c r="A539" s="189"/>
      <c r="B539" s="542"/>
      <c r="C539" s="8"/>
      <c r="D539" s="8"/>
      <c r="E539" s="236"/>
      <c r="F539" s="226"/>
      <c r="G539" s="226"/>
      <c r="H539" s="226"/>
      <c r="I539" s="237"/>
      <c r="J539" s="226"/>
    </row>
    <row r="540" spans="1:10" x14ac:dyDescent="0.35">
      <c r="A540" s="189"/>
      <c r="B540" s="542"/>
      <c r="C540" s="8"/>
      <c r="D540" s="8"/>
      <c r="E540" s="236"/>
      <c r="F540" s="226"/>
      <c r="G540" s="226"/>
      <c r="H540" s="226"/>
      <c r="I540" s="237"/>
      <c r="J540" s="226"/>
    </row>
    <row r="541" spans="1:10" x14ac:dyDescent="0.35">
      <c r="A541" s="189"/>
      <c r="B541" s="542"/>
      <c r="C541" s="8"/>
      <c r="D541" s="8"/>
      <c r="E541" s="236"/>
      <c r="F541" s="226"/>
      <c r="G541" s="226"/>
      <c r="H541" s="226"/>
      <c r="I541" s="237"/>
      <c r="J541" s="226"/>
    </row>
    <row r="542" spans="1:10" x14ac:dyDescent="0.35">
      <c r="A542" s="189"/>
      <c r="B542" s="542"/>
      <c r="C542" s="8"/>
      <c r="D542" s="8"/>
      <c r="E542" s="236"/>
      <c r="F542" s="226"/>
      <c r="G542" s="226"/>
      <c r="H542" s="226"/>
      <c r="I542" s="237"/>
      <c r="J542" s="226"/>
    </row>
    <row r="543" spans="1:10" x14ac:dyDescent="0.35">
      <c r="A543" s="189"/>
      <c r="B543" s="542"/>
      <c r="C543" s="8"/>
      <c r="D543" s="8"/>
      <c r="E543" s="236"/>
      <c r="F543" s="226"/>
      <c r="G543" s="226"/>
      <c r="H543" s="226"/>
      <c r="I543" s="237"/>
      <c r="J543" s="226"/>
    </row>
    <row r="544" spans="1:10" x14ac:dyDescent="0.35">
      <c r="A544" s="189"/>
      <c r="B544" s="542"/>
      <c r="C544" s="8"/>
      <c r="D544" s="8"/>
      <c r="E544" s="236"/>
      <c r="F544" s="226"/>
      <c r="G544" s="226"/>
      <c r="H544" s="226"/>
      <c r="I544" s="237"/>
      <c r="J544" s="226"/>
    </row>
    <row r="545" spans="1:10" x14ac:dyDescent="0.35">
      <c r="A545" s="189"/>
      <c r="B545" s="542"/>
      <c r="C545" s="8"/>
      <c r="D545" s="8"/>
      <c r="E545" s="236"/>
      <c r="F545" s="226"/>
      <c r="G545" s="226"/>
      <c r="H545" s="226"/>
      <c r="I545" s="237"/>
      <c r="J545" s="226"/>
    </row>
    <row r="546" spans="1:10" x14ac:dyDescent="0.35">
      <c r="A546" s="189"/>
      <c r="B546" s="542"/>
      <c r="C546" s="8"/>
      <c r="D546" s="8"/>
      <c r="E546" s="236"/>
      <c r="F546" s="226"/>
      <c r="G546" s="226"/>
      <c r="H546" s="226"/>
      <c r="I546" s="237"/>
      <c r="J546" s="226"/>
    </row>
    <row r="547" spans="1:10" x14ac:dyDescent="0.35">
      <c r="A547" s="189"/>
      <c r="B547" s="542"/>
      <c r="C547" s="8"/>
      <c r="D547" s="8"/>
      <c r="E547" s="236"/>
      <c r="F547" s="226"/>
      <c r="G547" s="226"/>
      <c r="H547" s="226"/>
      <c r="I547" s="237"/>
      <c r="J547" s="226"/>
    </row>
    <row r="548" spans="1:10" x14ac:dyDescent="0.35">
      <c r="A548" s="189"/>
      <c r="B548" s="542"/>
      <c r="C548" s="8"/>
      <c r="D548" s="8"/>
      <c r="E548" s="236"/>
      <c r="F548" s="226"/>
      <c r="G548" s="226"/>
      <c r="H548" s="226"/>
      <c r="I548" s="237"/>
      <c r="J548" s="226"/>
    </row>
    <row r="549" spans="1:10" x14ac:dyDescent="0.35">
      <c r="A549" s="189"/>
      <c r="B549" s="542"/>
      <c r="C549" s="8"/>
      <c r="D549" s="8"/>
      <c r="E549" s="236"/>
      <c r="F549" s="226"/>
      <c r="G549" s="226"/>
      <c r="H549" s="226"/>
      <c r="I549" s="237"/>
      <c r="J549" s="226"/>
    </row>
    <row r="550" spans="1:10" x14ac:dyDescent="0.35">
      <c r="A550" s="189"/>
      <c r="B550" s="542"/>
      <c r="C550" s="8"/>
      <c r="D550" s="8"/>
      <c r="E550" s="236"/>
      <c r="F550" s="226"/>
      <c r="G550" s="226"/>
      <c r="H550" s="226"/>
      <c r="I550" s="237"/>
      <c r="J550" s="226"/>
    </row>
    <row r="551" spans="1:10" x14ac:dyDescent="0.35">
      <c r="A551" s="189"/>
      <c r="B551" s="542"/>
      <c r="C551" s="8"/>
      <c r="D551" s="8"/>
      <c r="E551" s="236"/>
      <c r="F551" s="226"/>
      <c r="G551" s="226"/>
      <c r="H551" s="226"/>
      <c r="I551" s="237"/>
      <c r="J551" s="226"/>
    </row>
    <row r="552" spans="1:10" x14ac:dyDescent="0.35">
      <c r="A552" s="189"/>
      <c r="B552" s="542"/>
      <c r="C552" s="8"/>
      <c r="D552" s="8"/>
      <c r="E552" s="236"/>
      <c r="F552" s="226"/>
      <c r="G552" s="226"/>
      <c r="H552" s="226"/>
      <c r="I552" s="237"/>
      <c r="J552" s="226"/>
    </row>
    <row r="553" spans="1:10" x14ac:dyDescent="0.35">
      <c r="A553" s="189"/>
      <c r="B553" s="541"/>
      <c r="C553" s="8"/>
      <c r="D553" s="8"/>
      <c r="E553" s="236"/>
      <c r="F553" s="226"/>
      <c r="G553" s="226"/>
      <c r="H553" s="226"/>
      <c r="I553" s="237"/>
      <c r="J553" s="226"/>
    </row>
    <row r="554" spans="1:10" x14ac:dyDescent="0.35">
      <c r="A554" s="189"/>
      <c r="B554" s="542"/>
      <c r="C554" s="8"/>
      <c r="D554" s="8"/>
      <c r="E554" s="236"/>
      <c r="F554" s="226"/>
      <c r="G554" s="226"/>
      <c r="H554" s="226"/>
      <c r="I554" s="237"/>
      <c r="J554" s="226"/>
    </row>
    <row r="555" spans="1:10" x14ac:dyDescent="0.35">
      <c r="A555" s="189"/>
      <c r="B555" s="542"/>
      <c r="C555" s="8"/>
      <c r="D555" s="8"/>
      <c r="E555" s="236"/>
      <c r="F555" s="226"/>
      <c r="G555" s="226"/>
      <c r="H555" s="226"/>
      <c r="I555" s="237"/>
      <c r="J555" s="226"/>
    </row>
    <row r="556" spans="1:10" x14ac:dyDescent="0.35">
      <c r="A556" s="189"/>
      <c r="B556" s="542"/>
      <c r="C556" s="8"/>
      <c r="D556" s="8"/>
      <c r="E556" s="236"/>
      <c r="F556" s="226"/>
      <c r="G556" s="226"/>
      <c r="H556" s="226"/>
      <c r="I556" s="237"/>
      <c r="J556" s="226"/>
    </row>
    <row r="557" spans="1:10" x14ac:dyDescent="0.35">
      <c r="A557" s="189"/>
      <c r="B557" s="542"/>
      <c r="C557" s="8"/>
      <c r="D557" s="8"/>
      <c r="E557" s="236"/>
      <c r="F557" s="226"/>
      <c r="G557" s="226"/>
      <c r="H557" s="226"/>
      <c r="I557" s="237"/>
      <c r="J557" s="226"/>
    </row>
    <row r="558" spans="1:10" x14ac:dyDescent="0.35">
      <c r="A558" s="189"/>
      <c r="B558" s="542"/>
      <c r="C558" s="8"/>
      <c r="D558" s="8"/>
      <c r="E558" s="236"/>
      <c r="F558" s="226"/>
      <c r="G558" s="226"/>
      <c r="H558" s="226"/>
      <c r="I558" s="237"/>
      <c r="J558" s="226"/>
    </row>
    <row r="559" spans="1:10" x14ac:dyDescent="0.35">
      <c r="A559" s="189"/>
      <c r="B559" s="542"/>
      <c r="C559" s="8"/>
      <c r="D559" s="8"/>
      <c r="E559" s="236"/>
      <c r="F559" s="226"/>
      <c r="G559" s="226"/>
      <c r="H559" s="226"/>
      <c r="I559" s="237"/>
      <c r="J559" s="226"/>
    </row>
    <row r="560" spans="1:10" x14ac:dyDescent="0.35">
      <c r="A560" s="189"/>
      <c r="B560" s="542"/>
      <c r="C560" s="8"/>
      <c r="D560" s="8"/>
      <c r="E560" s="236"/>
      <c r="F560" s="226"/>
      <c r="G560" s="226"/>
      <c r="H560" s="226"/>
      <c r="I560" s="237"/>
      <c r="J560" s="226"/>
    </row>
    <row r="561" spans="1:10" x14ac:dyDescent="0.35">
      <c r="A561" s="189"/>
      <c r="B561" s="542"/>
      <c r="C561" s="8"/>
      <c r="D561" s="8"/>
      <c r="E561" s="236"/>
      <c r="F561" s="226"/>
      <c r="G561" s="226"/>
      <c r="H561" s="226"/>
      <c r="I561" s="237"/>
      <c r="J561" s="226"/>
    </row>
    <row r="562" spans="1:10" x14ac:dyDescent="0.35">
      <c r="A562" s="189"/>
      <c r="B562" s="542"/>
      <c r="C562" s="8"/>
      <c r="D562" s="8"/>
      <c r="E562" s="236"/>
      <c r="F562" s="226"/>
      <c r="G562" s="226"/>
      <c r="H562" s="226"/>
      <c r="I562" s="237"/>
      <c r="J562" s="226"/>
    </row>
    <row r="563" spans="1:10" x14ac:dyDescent="0.35">
      <c r="A563" s="189"/>
      <c r="B563" s="542"/>
      <c r="C563" s="8"/>
      <c r="D563" s="8"/>
      <c r="E563" s="236"/>
      <c r="F563" s="226"/>
      <c r="G563" s="226"/>
      <c r="H563" s="226"/>
      <c r="I563" s="237"/>
      <c r="J563" s="226"/>
    </row>
    <row r="564" spans="1:10" x14ac:dyDescent="0.35">
      <c r="A564" s="189"/>
      <c r="B564" s="542"/>
      <c r="C564" s="8"/>
      <c r="D564" s="8"/>
      <c r="E564" s="236"/>
      <c r="F564" s="226"/>
      <c r="G564" s="226"/>
      <c r="H564" s="226"/>
      <c r="I564" s="237"/>
      <c r="J564" s="226"/>
    </row>
    <row r="565" spans="1:10" x14ac:dyDescent="0.35">
      <c r="A565" s="189"/>
      <c r="B565" s="542"/>
      <c r="C565" s="8"/>
      <c r="D565" s="8"/>
      <c r="E565" s="236"/>
      <c r="F565" s="226"/>
      <c r="G565" s="226"/>
      <c r="H565" s="226"/>
      <c r="I565" s="237"/>
      <c r="J565" s="226"/>
    </row>
    <row r="566" spans="1:10" x14ac:dyDescent="0.35">
      <c r="A566" s="189"/>
      <c r="B566" s="542"/>
      <c r="C566" s="8"/>
      <c r="D566" s="8"/>
      <c r="E566" s="236"/>
      <c r="F566" s="226"/>
      <c r="G566" s="226"/>
      <c r="H566" s="226"/>
      <c r="I566" s="237"/>
      <c r="J566" s="226"/>
    </row>
    <row r="567" spans="1:10" x14ac:dyDescent="0.35">
      <c r="A567" s="189"/>
      <c r="B567" s="542"/>
      <c r="C567" s="8"/>
      <c r="D567" s="8"/>
      <c r="E567" s="236"/>
      <c r="F567" s="226"/>
      <c r="G567" s="226"/>
      <c r="H567" s="226"/>
      <c r="I567" s="237"/>
      <c r="J567" s="226"/>
    </row>
    <row r="568" spans="1:10" x14ac:dyDescent="0.35">
      <c r="A568" s="189"/>
      <c r="B568" s="542"/>
      <c r="C568" s="8"/>
      <c r="D568" s="8"/>
      <c r="E568" s="236"/>
      <c r="F568" s="226"/>
      <c r="G568" s="226"/>
      <c r="H568" s="226"/>
      <c r="I568" s="237"/>
      <c r="J568" s="226"/>
    </row>
    <row r="569" spans="1:10" x14ac:dyDescent="0.35">
      <c r="A569" s="189"/>
      <c r="B569" s="542"/>
      <c r="C569" s="8"/>
      <c r="D569" s="8"/>
      <c r="E569" s="236"/>
      <c r="F569" s="226"/>
      <c r="G569" s="226"/>
      <c r="H569" s="226"/>
      <c r="I569" s="237"/>
      <c r="J569" s="226"/>
    </row>
    <row r="570" spans="1:10" x14ac:dyDescent="0.35">
      <c r="A570" s="189"/>
      <c r="B570" s="541"/>
      <c r="C570" s="8"/>
      <c r="D570" s="8"/>
      <c r="E570" s="236"/>
      <c r="F570" s="226"/>
      <c r="G570" s="226"/>
      <c r="H570" s="226"/>
      <c r="I570" s="237"/>
      <c r="J570" s="226"/>
    </row>
    <row r="571" spans="1:10" x14ac:dyDescent="0.35">
      <c r="A571" s="189"/>
      <c r="B571" s="542"/>
      <c r="C571" s="8"/>
      <c r="D571" s="8"/>
      <c r="E571" s="236"/>
      <c r="F571" s="226"/>
      <c r="G571" s="226"/>
      <c r="H571" s="226"/>
      <c r="I571" s="237"/>
      <c r="J571" s="226"/>
    </row>
    <row r="572" spans="1:10" x14ac:dyDescent="0.35">
      <c r="A572" s="189"/>
      <c r="B572" s="542"/>
      <c r="C572" s="8"/>
      <c r="D572" s="8"/>
      <c r="E572" s="236"/>
      <c r="F572" s="226"/>
      <c r="G572" s="226"/>
      <c r="H572" s="226"/>
      <c r="I572" s="237"/>
      <c r="J572" s="226"/>
    </row>
    <row r="573" spans="1:10" x14ac:dyDescent="0.35">
      <c r="A573" s="189"/>
      <c r="B573" s="542"/>
      <c r="C573" s="8"/>
      <c r="D573" s="8"/>
      <c r="E573" s="236"/>
      <c r="F573" s="226"/>
      <c r="G573" s="226"/>
      <c r="H573" s="226"/>
      <c r="I573" s="237"/>
      <c r="J573" s="226"/>
    </row>
    <row r="574" spans="1:10" x14ac:dyDescent="0.35">
      <c r="A574" s="189"/>
      <c r="B574" s="542"/>
      <c r="C574" s="8"/>
      <c r="D574" s="8"/>
      <c r="E574" s="236"/>
      <c r="F574" s="226"/>
      <c r="G574" s="226"/>
      <c r="H574" s="226"/>
      <c r="I574" s="237"/>
      <c r="J574" s="226"/>
    </row>
    <row r="575" spans="1:10" x14ac:dyDescent="0.35">
      <c r="A575" s="189"/>
      <c r="B575" s="542"/>
      <c r="C575" s="8"/>
      <c r="D575" s="8"/>
      <c r="E575" s="236"/>
      <c r="F575" s="226"/>
      <c r="G575" s="226"/>
      <c r="H575" s="226"/>
      <c r="I575" s="237"/>
      <c r="J575" s="226"/>
    </row>
    <row r="576" spans="1:10" x14ac:dyDescent="0.35">
      <c r="A576" s="189"/>
      <c r="B576" s="542"/>
      <c r="C576" s="8"/>
      <c r="D576" s="8"/>
      <c r="E576" s="236"/>
      <c r="F576" s="226"/>
      <c r="G576" s="226"/>
      <c r="H576" s="226"/>
      <c r="I576" s="237"/>
      <c r="J576" s="226"/>
    </row>
    <row r="577" spans="1:10" x14ac:dyDescent="0.35">
      <c r="A577" s="189"/>
      <c r="B577" s="542"/>
      <c r="C577" s="8"/>
      <c r="D577" s="8"/>
      <c r="E577" s="236"/>
      <c r="F577" s="226"/>
      <c r="G577" s="226"/>
      <c r="H577" s="226"/>
      <c r="I577" s="237"/>
      <c r="J577" s="226"/>
    </row>
    <row r="578" spans="1:10" x14ac:dyDescent="0.35">
      <c r="A578" s="189"/>
      <c r="B578" s="542"/>
      <c r="C578" s="8"/>
      <c r="D578" s="8"/>
      <c r="E578" s="236"/>
      <c r="F578" s="226"/>
      <c r="G578" s="226"/>
      <c r="H578" s="226"/>
      <c r="I578" s="237"/>
      <c r="J578" s="226"/>
    </row>
    <row r="579" spans="1:10" x14ac:dyDescent="0.35">
      <c r="A579" s="189"/>
      <c r="B579" s="542"/>
      <c r="C579" s="8"/>
      <c r="D579" s="8"/>
      <c r="E579" s="236"/>
      <c r="F579" s="226"/>
      <c r="G579" s="226"/>
      <c r="H579" s="226"/>
      <c r="I579" s="237"/>
      <c r="J579" s="226"/>
    </row>
    <row r="580" spans="1:10" x14ac:dyDescent="0.35">
      <c r="A580" s="189"/>
      <c r="B580" s="542"/>
      <c r="C580" s="8"/>
      <c r="D580" s="8"/>
      <c r="E580" s="236"/>
      <c r="F580" s="226"/>
      <c r="G580" s="226"/>
      <c r="H580" s="226"/>
      <c r="I580" s="237"/>
      <c r="J580" s="226"/>
    </row>
    <row r="581" spans="1:10" x14ac:dyDescent="0.35">
      <c r="A581" s="189"/>
      <c r="B581" s="542"/>
      <c r="C581" s="8"/>
      <c r="D581" s="8"/>
      <c r="E581" s="236"/>
      <c r="F581" s="226"/>
      <c r="G581" s="226"/>
      <c r="H581" s="226"/>
      <c r="I581" s="237"/>
      <c r="J581" s="226"/>
    </row>
    <row r="582" spans="1:10" x14ac:dyDescent="0.35">
      <c r="A582" s="189"/>
      <c r="B582" s="542"/>
      <c r="C582" s="8"/>
      <c r="D582" s="8"/>
      <c r="E582" s="236"/>
      <c r="F582" s="226"/>
      <c r="G582" s="226"/>
      <c r="H582" s="226"/>
      <c r="I582" s="237"/>
      <c r="J582" s="226"/>
    </row>
    <row r="583" spans="1:10" x14ac:dyDescent="0.35">
      <c r="A583" s="189"/>
      <c r="B583" s="542"/>
      <c r="C583" s="8"/>
      <c r="D583" s="8"/>
      <c r="E583" s="236"/>
      <c r="F583" s="226"/>
      <c r="G583" s="226"/>
      <c r="H583" s="226"/>
      <c r="I583" s="237"/>
      <c r="J583" s="226"/>
    </row>
    <row r="584" spans="1:10" x14ac:dyDescent="0.35">
      <c r="A584" s="189"/>
      <c r="B584" s="542"/>
      <c r="C584" s="8"/>
      <c r="D584" s="8"/>
      <c r="E584" s="236"/>
      <c r="F584" s="226"/>
      <c r="G584" s="226"/>
      <c r="H584" s="226"/>
      <c r="I584" s="237"/>
      <c r="J584" s="226"/>
    </row>
    <row r="585" spans="1:10" x14ac:dyDescent="0.35">
      <c r="A585" s="189"/>
      <c r="B585" s="542"/>
      <c r="C585" s="8"/>
      <c r="D585" s="8"/>
      <c r="E585" s="236"/>
      <c r="F585" s="226"/>
      <c r="G585" s="226"/>
      <c r="H585" s="226"/>
      <c r="I585" s="237"/>
      <c r="J585" s="226"/>
    </row>
    <row r="586" spans="1:10" x14ac:dyDescent="0.35">
      <c r="A586" s="189"/>
      <c r="B586" s="542"/>
      <c r="C586" s="8"/>
      <c r="D586" s="8"/>
      <c r="E586" s="236"/>
      <c r="F586" s="226"/>
      <c r="G586" s="226"/>
      <c r="H586" s="226"/>
      <c r="I586" s="237"/>
      <c r="J586" s="226"/>
    </row>
    <row r="587" spans="1:10" x14ac:dyDescent="0.35">
      <c r="A587" s="189"/>
      <c r="B587" s="541"/>
      <c r="C587" s="8"/>
      <c r="D587" s="8"/>
      <c r="E587" s="236"/>
      <c r="F587" s="226"/>
      <c r="G587" s="226"/>
      <c r="H587" s="226"/>
      <c r="I587" s="237"/>
      <c r="J587" s="226"/>
    </row>
    <row r="588" spans="1:10" x14ac:dyDescent="0.35">
      <c r="A588" s="189"/>
      <c r="B588" s="542"/>
      <c r="C588" s="8"/>
      <c r="D588" s="8"/>
      <c r="E588" s="236"/>
      <c r="F588" s="226"/>
      <c r="G588" s="226"/>
      <c r="H588" s="226"/>
      <c r="I588" s="237"/>
      <c r="J588" s="226"/>
    </row>
    <row r="589" spans="1:10" x14ac:dyDescent="0.35">
      <c r="A589" s="189"/>
      <c r="B589" s="542"/>
      <c r="C589" s="8"/>
      <c r="D589" s="8"/>
      <c r="E589" s="236"/>
      <c r="F589" s="226"/>
      <c r="G589" s="226"/>
      <c r="H589" s="226"/>
      <c r="I589" s="237"/>
      <c r="J589" s="226"/>
    </row>
    <row r="590" spans="1:10" x14ac:dyDescent="0.35">
      <c r="A590" s="189"/>
      <c r="B590" s="542"/>
      <c r="C590" s="8"/>
      <c r="D590" s="8"/>
      <c r="E590" s="236"/>
      <c r="F590" s="226"/>
      <c r="G590" s="226"/>
      <c r="H590" s="226"/>
      <c r="I590" s="237"/>
      <c r="J590" s="226"/>
    </row>
    <row r="591" spans="1:10" x14ac:dyDescent="0.35">
      <c r="A591" s="189"/>
      <c r="B591" s="542"/>
      <c r="C591" s="8"/>
      <c r="D591" s="8"/>
      <c r="E591" s="236"/>
      <c r="F591" s="226"/>
      <c r="G591" s="226"/>
      <c r="H591" s="226"/>
      <c r="I591" s="237"/>
      <c r="J591" s="226"/>
    </row>
    <row r="592" spans="1:10" x14ac:dyDescent="0.35">
      <c r="A592" s="189"/>
      <c r="B592" s="542"/>
      <c r="C592" s="8"/>
      <c r="D592" s="8"/>
      <c r="E592" s="236"/>
      <c r="F592" s="226"/>
      <c r="G592" s="226"/>
      <c r="H592" s="226"/>
      <c r="I592" s="237"/>
      <c r="J592" s="226"/>
    </row>
    <row r="593" spans="1:10" x14ac:dyDescent="0.35">
      <c r="A593" s="189"/>
      <c r="B593" s="542"/>
      <c r="C593" s="8"/>
      <c r="D593" s="8"/>
      <c r="E593" s="236"/>
      <c r="F593" s="226"/>
      <c r="G593" s="226"/>
      <c r="H593" s="226"/>
      <c r="I593" s="237"/>
      <c r="J593" s="226"/>
    </row>
    <row r="594" spans="1:10" x14ac:dyDescent="0.35">
      <c r="A594" s="189"/>
      <c r="B594" s="542"/>
      <c r="C594" s="8"/>
      <c r="D594" s="8"/>
      <c r="E594" s="236"/>
      <c r="F594" s="226"/>
      <c r="G594" s="226"/>
      <c r="H594" s="226"/>
      <c r="I594" s="237"/>
      <c r="J594" s="226"/>
    </row>
    <row r="595" spans="1:10" x14ac:dyDescent="0.35">
      <c r="A595" s="189"/>
      <c r="B595" s="542"/>
      <c r="C595" s="8"/>
      <c r="D595" s="8"/>
      <c r="E595" s="236"/>
      <c r="F595" s="226"/>
      <c r="G595" s="226"/>
      <c r="H595" s="226"/>
      <c r="I595" s="237"/>
      <c r="J595" s="226"/>
    </row>
    <row r="596" spans="1:10" x14ac:dyDescent="0.35">
      <c r="A596" s="189"/>
      <c r="B596" s="542"/>
      <c r="C596" s="8"/>
      <c r="D596" s="8"/>
      <c r="E596" s="236"/>
      <c r="F596" s="226"/>
      <c r="G596" s="226"/>
      <c r="H596" s="226"/>
      <c r="I596" s="237"/>
      <c r="J596" s="226"/>
    </row>
    <row r="597" spans="1:10" x14ac:dyDescent="0.35">
      <c r="A597" s="189"/>
      <c r="B597" s="542"/>
      <c r="C597" s="8"/>
      <c r="D597" s="8"/>
      <c r="E597" s="236"/>
      <c r="F597" s="226"/>
      <c r="G597" s="226"/>
      <c r="H597" s="226"/>
      <c r="I597" s="237"/>
      <c r="J597" s="226"/>
    </row>
    <row r="598" spans="1:10" x14ac:dyDescent="0.35">
      <c r="A598" s="189"/>
      <c r="B598" s="542"/>
      <c r="C598" s="8"/>
      <c r="D598" s="8"/>
      <c r="E598" s="236"/>
      <c r="F598" s="226"/>
      <c r="G598" s="226"/>
      <c r="H598" s="226"/>
      <c r="I598" s="237"/>
      <c r="J598" s="226"/>
    </row>
    <row r="599" spans="1:10" x14ac:dyDescent="0.35">
      <c r="A599" s="189"/>
      <c r="B599" s="542"/>
      <c r="C599" s="8"/>
      <c r="D599" s="8"/>
      <c r="E599" s="236"/>
      <c r="F599" s="226"/>
      <c r="G599" s="226"/>
      <c r="H599" s="226"/>
      <c r="I599" s="237"/>
      <c r="J599" s="226"/>
    </row>
    <row r="600" spans="1:10" x14ac:dyDescent="0.35">
      <c r="A600" s="189"/>
      <c r="B600" s="542"/>
      <c r="C600" s="8"/>
      <c r="D600" s="8"/>
      <c r="E600" s="236"/>
      <c r="F600" s="226"/>
      <c r="G600" s="226"/>
      <c r="H600" s="226"/>
      <c r="I600" s="237"/>
      <c r="J600" s="226"/>
    </row>
    <row r="601" spans="1:10" x14ac:dyDescent="0.35">
      <c r="A601" s="189"/>
      <c r="B601" s="542"/>
      <c r="C601" s="8"/>
      <c r="D601" s="8"/>
      <c r="E601" s="236"/>
      <c r="F601" s="226"/>
      <c r="G601" s="226"/>
      <c r="H601" s="226"/>
      <c r="I601" s="237"/>
      <c r="J601" s="226"/>
    </row>
    <row r="602" spans="1:10" x14ac:dyDescent="0.35">
      <c r="A602" s="189"/>
      <c r="B602" s="542"/>
      <c r="C602" s="8"/>
      <c r="D602" s="8"/>
      <c r="E602" s="236"/>
      <c r="F602" s="226"/>
      <c r="G602" s="226"/>
      <c r="H602" s="226"/>
      <c r="I602" s="237"/>
      <c r="J602" s="226"/>
    </row>
    <row r="603" spans="1:10" x14ac:dyDescent="0.35">
      <c r="A603" s="189"/>
      <c r="B603" s="542"/>
      <c r="C603" s="8"/>
      <c r="D603" s="8"/>
      <c r="E603" s="236"/>
      <c r="F603" s="226"/>
      <c r="G603" s="226"/>
      <c r="H603" s="226"/>
      <c r="I603" s="237"/>
      <c r="J603" s="226"/>
    </row>
    <row r="604" spans="1:10" x14ac:dyDescent="0.35">
      <c r="A604" s="189"/>
      <c r="B604" s="541"/>
      <c r="C604" s="8"/>
      <c r="D604" s="8"/>
      <c r="E604" s="236"/>
      <c r="F604" s="226"/>
      <c r="G604" s="226"/>
      <c r="H604" s="226"/>
      <c r="I604" s="237"/>
      <c r="J604" s="226"/>
    </row>
    <row r="605" spans="1:10" x14ac:dyDescent="0.35">
      <c r="A605" s="189"/>
      <c r="B605" s="542"/>
      <c r="C605" s="8"/>
      <c r="D605" s="8"/>
      <c r="E605" s="236"/>
      <c r="F605" s="226"/>
      <c r="G605" s="226"/>
      <c r="H605" s="226"/>
      <c r="I605" s="237"/>
      <c r="J605" s="226"/>
    </row>
    <row r="606" spans="1:10" x14ac:dyDescent="0.35">
      <c r="A606" s="189"/>
      <c r="B606" s="542"/>
      <c r="C606" s="8"/>
      <c r="D606" s="8"/>
      <c r="E606" s="236"/>
      <c r="F606" s="226"/>
      <c r="G606" s="226"/>
      <c r="H606" s="226"/>
      <c r="I606" s="237"/>
      <c r="J606" s="226"/>
    </row>
    <row r="607" spans="1:10" x14ac:dyDescent="0.35">
      <c r="A607" s="189"/>
      <c r="B607" s="542"/>
      <c r="C607" s="8"/>
      <c r="D607" s="8"/>
      <c r="E607" s="236"/>
      <c r="F607" s="226"/>
      <c r="G607" s="226"/>
      <c r="H607" s="226"/>
      <c r="I607" s="237"/>
      <c r="J607" s="226"/>
    </row>
    <row r="608" spans="1:10" x14ac:dyDescent="0.35">
      <c r="A608" s="189"/>
      <c r="B608" s="542"/>
      <c r="C608" s="8"/>
      <c r="D608" s="8"/>
      <c r="E608" s="236"/>
      <c r="F608" s="226"/>
      <c r="G608" s="226"/>
      <c r="H608" s="226"/>
      <c r="I608" s="237"/>
      <c r="J608" s="226"/>
    </row>
    <row r="609" spans="1:10" x14ac:dyDescent="0.35">
      <c r="A609" s="189"/>
      <c r="B609" s="542"/>
      <c r="C609" s="8"/>
      <c r="D609" s="8"/>
      <c r="E609" s="236"/>
      <c r="F609" s="226"/>
      <c r="G609" s="226"/>
      <c r="H609" s="226"/>
      <c r="I609" s="237"/>
      <c r="J609" s="226"/>
    </row>
    <row r="610" spans="1:10" x14ac:dyDescent="0.35">
      <c r="A610" s="189"/>
      <c r="B610" s="542"/>
      <c r="C610" s="8"/>
      <c r="D610" s="8"/>
      <c r="E610" s="236"/>
      <c r="F610" s="226"/>
      <c r="G610" s="226"/>
      <c r="H610" s="226"/>
      <c r="I610" s="237"/>
      <c r="J610" s="226"/>
    </row>
    <row r="611" spans="1:10" x14ac:dyDescent="0.35">
      <c r="A611" s="189"/>
      <c r="B611" s="542"/>
      <c r="C611" s="8"/>
      <c r="D611" s="8"/>
      <c r="E611" s="236"/>
      <c r="F611" s="226"/>
      <c r="G611" s="226"/>
      <c r="H611" s="226"/>
      <c r="I611" s="237"/>
      <c r="J611" s="226"/>
    </row>
    <row r="612" spans="1:10" x14ac:dyDescent="0.35">
      <c r="A612" s="189"/>
      <c r="B612" s="542"/>
      <c r="C612" s="8"/>
      <c r="D612" s="8"/>
      <c r="E612" s="236"/>
      <c r="F612" s="226"/>
      <c r="G612" s="226"/>
      <c r="H612" s="226"/>
      <c r="I612" s="237"/>
      <c r="J612" s="226"/>
    </row>
    <row r="613" spans="1:10" x14ac:dyDescent="0.35">
      <c r="A613" s="189"/>
      <c r="B613" s="542"/>
      <c r="C613" s="8"/>
      <c r="D613" s="8"/>
      <c r="E613" s="236"/>
      <c r="F613" s="226"/>
      <c r="G613" s="226"/>
      <c r="H613" s="226"/>
      <c r="I613" s="237"/>
      <c r="J613" s="226"/>
    </row>
    <row r="614" spans="1:10" x14ac:dyDescent="0.35">
      <c r="A614" s="189"/>
      <c r="B614" s="542"/>
      <c r="C614" s="8"/>
      <c r="D614" s="8"/>
      <c r="E614" s="236"/>
      <c r="F614" s="226"/>
      <c r="G614" s="226"/>
      <c r="H614" s="226"/>
      <c r="I614" s="237"/>
      <c r="J614" s="226"/>
    </row>
    <row r="615" spans="1:10" x14ac:dyDescent="0.35">
      <c r="A615" s="189"/>
      <c r="B615" s="542"/>
      <c r="C615" s="8"/>
      <c r="D615" s="8"/>
      <c r="E615" s="236"/>
      <c r="F615" s="226"/>
      <c r="G615" s="226"/>
      <c r="H615" s="226"/>
      <c r="I615" s="237"/>
      <c r="J615" s="226"/>
    </row>
    <row r="616" spans="1:10" x14ac:dyDescent="0.35">
      <c r="A616" s="189"/>
      <c r="B616" s="542"/>
      <c r="C616" s="8"/>
      <c r="D616" s="8"/>
      <c r="E616" s="236"/>
      <c r="F616" s="226"/>
      <c r="G616" s="226"/>
      <c r="H616" s="226"/>
      <c r="I616" s="237"/>
      <c r="J616" s="226"/>
    </row>
    <row r="617" spans="1:10" x14ac:dyDescent="0.35">
      <c r="A617" s="189"/>
      <c r="B617" s="542"/>
      <c r="C617" s="8"/>
      <c r="D617" s="8"/>
      <c r="E617" s="236"/>
      <c r="F617" s="226"/>
      <c r="G617" s="226"/>
      <c r="H617" s="226"/>
      <c r="I617" s="237"/>
      <c r="J617" s="226"/>
    </row>
    <row r="618" spans="1:10" x14ac:dyDescent="0.35">
      <c r="A618" s="189"/>
      <c r="B618" s="542"/>
      <c r="C618" s="8"/>
      <c r="D618" s="8"/>
      <c r="E618" s="236"/>
      <c r="F618" s="226"/>
      <c r="G618" s="226"/>
      <c r="H618" s="226"/>
      <c r="I618" s="237"/>
      <c r="J618" s="226"/>
    </row>
    <row r="619" spans="1:10" x14ac:dyDescent="0.35">
      <c r="A619" s="189"/>
      <c r="B619" s="542"/>
      <c r="C619" s="8"/>
      <c r="D619" s="8"/>
      <c r="E619" s="236"/>
      <c r="F619" s="226"/>
      <c r="G619" s="226"/>
      <c r="H619" s="226"/>
      <c r="I619" s="237"/>
      <c r="J619" s="226"/>
    </row>
    <row r="620" spans="1:10" x14ac:dyDescent="0.35">
      <c r="A620" s="189"/>
      <c r="B620" s="542"/>
      <c r="C620" s="8"/>
      <c r="D620" s="8"/>
      <c r="E620" s="236"/>
      <c r="F620" s="226"/>
      <c r="G620" s="226"/>
      <c r="H620" s="226"/>
      <c r="I620" s="237"/>
      <c r="J620" s="226"/>
    </row>
    <row r="621" spans="1:10" x14ac:dyDescent="0.35">
      <c r="A621" s="189"/>
      <c r="B621" s="541"/>
      <c r="C621" s="8"/>
      <c r="D621" s="8"/>
      <c r="E621" s="236"/>
      <c r="F621" s="226"/>
      <c r="G621" s="226"/>
      <c r="H621" s="226"/>
      <c r="I621" s="237"/>
      <c r="J621" s="226"/>
    </row>
    <row r="622" spans="1:10" x14ac:dyDescent="0.35">
      <c r="A622" s="189"/>
      <c r="B622" s="542"/>
      <c r="C622" s="8"/>
      <c r="D622" s="8"/>
      <c r="E622" s="236"/>
      <c r="F622" s="226"/>
      <c r="G622" s="226"/>
      <c r="H622" s="226"/>
      <c r="I622" s="237"/>
      <c r="J622" s="226"/>
    </row>
    <row r="623" spans="1:10" x14ac:dyDescent="0.35">
      <c r="A623" s="189"/>
      <c r="B623" s="542"/>
      <c r="C623" s="8"/>
      <c r="D623" s="8"/>
      <c r="E623" s="236"/>
      <c r="F623" s="226"/>
      <c r="G623" s="226"/>
      <c r="H623" s="226"/>
      <c r="I623" s="237"/>
      <c r="J623" s="226"/>
    </row>
    <row r="624" spans="1:10" x14ac:dyDescent="0.35">
      <c r="A624" s="189"/>
      <c r="B624" s="542"/>
      <c r="C624" s="8"/>
      <c r="D624" s="8"/>
      <c r="E624" s="236"/>
      <c r="F624" s="226"/>
      <c r="G624" s="226"/>
      <c r="H624" s="226"/>
      <c r="I624" s="237"/>
      <c r="J624" s="226"/>
    </row>
    <row r="625" spans="1:10" x14ac:dyDescent="0.35">
      <c r="A625" s="189"/>
      <c r="B625" s="542"/>
      <c r="C625" s="8"/>
      <c r="D625" s="8"/>
      <c r="E625" s="236"/>
      <c r="F625" s="226"/>
      <c r="G625" s="226"/>
      <c r="H625" s="226"/>
      <c r="I625" s="237"/>
      <c r="J625" s="226"/>
    </row>
    <row r="626" spans="1:10" x14ac:dyDescent="0.35">
      <c r="A626" s="189"/>
      <c r="B626" s="542"/>
      <c r="C626" s="8"/>
      <c r="D626" s="8"/>
      <c r="E626" s="236"/>
      <c r="F626" s="226"/>
      <c r="G626" s="226"/>
      <c r="H626" s="226"/>
      <c r="I626" s="237"/>
      <c r="J626" s="226"/>
    </row>
    <row r="627" spans="1:10" x14ac:dyDescent="0.35">
      <c r="A627" s="189"/>
      <c r="B627" s="542"/>
      <c r="C627" s="8"/>
      <c r="D627" s="8"/>
      <c r="E627" s="236"/>
      <c r="F627" s="226"/>
      <c r="G627" s="226"/>
      <c r="H627" s="226"/>
      <c r="I627" s="237"/>
      <c r="J627" s="226"/>
    </row>
    <row r="628" spans="1:10" x14ac:dyDescent="0.35">
      <c r="A628" s="189"/>
      <c r="B628" s="542"/>
      <c r="C628" s="8"/>
      <c r="D628" s="8"/>
      <c r="E628" s="236"/>
      <c r="F628" s="226"/>
      <c r="G628" s="226"/>
      <c r="H628" s="226"/>
      <c r="I628" s="237"/>
      <c r="J628" s="226"/>
    </row>
    <row r="629" spans="1:10" x14ac:dyDescent="0.35">
      <c r="A629" s="189"/>
      <c r="B629" s="542"/>
      <c r="C629" s="8"/>
      <c r="D629" s="8"/>
      <c r="E629" s="236"/>
      <c r="F629" s="226"/>
      <c r="G629" s="226"/>
      <c r="H629" s="226"/>
      <c r="I629" s="237"/>
      <c r="J629" s="226"/>
    </row>
    <row r="630" spans="1:10" x14ac:dyDescent="0.35">
      <c r="A630" s="189"/>
      <c r="B630" s="542"/>
      <c r="C630" s="8"/>
      <c r="D630" s="8"/>
      <c r="E630" s="236"/>
      <c r="F630" s="226"/>
      <c r="G630" s="226"/>
      <c r="H630" s="226"/>
      <c r="I630" s="237"/>
      <c r="J630" s="226"/>
    </row>
    <row r="631" spans="1:10" x14ac:dyDescent="0.35">
      <c r="A631" s="189"/>
      <c r="B631" s="542"/>
      <c r="C631" s="8"/>
      <c r="D631" s="8"/>
      <c r="E631" s="236"/>
      <c r="F631" s="226"/>
      <c r="G631" s="226"/>
      <c r="H631" s="226"/>
      <c r="I631" s="237"/>
      <c r="J631" s="226"/>
    </row>
    <row r="632" spans="1:10" x14ac:dyDescent="0.35">
      <c r="A632" s="189"/>
      <c r="B632" s="542"/>
      <c r="C632" s="8"/>
      <c r="D632" s="8"/>
      <c r="E632" s="236"/>
      <c r="F632" s="226"/>
      <c r="G632" s="226"/>
      <c r="H632" s="226"/>
      <c r="I632" s="237"/>
      <c r="J632" s="226"/>
    </row>
    <row r="633" spans="1:10" x14ac:dyDescent="0.35">
      <c r="A633" s="189"/>
      <c r="B633" s="542"/>
      <c r="C633" s="8"/>
      <c r="D633" s="8"/>
      <c r="E633" s="236"/>
      <c r="F633" s="226"/>
      <c r="G633" s="226"/>
      <c r="H633" s="226"/>
      <c r="I633" s="237"/>
      <c r="J633" s="226"/>
    </row>
    <row r="634" spans="1:10" x14ac:dyDescent="0.35">
      <c r="A634" s="189"/>
      <c r="B634" s="542"/>
      <c r="C634" s="8"/>
      <c r="D634" s="8"/>
      <c r="E634" s="236"/>
      <c r="F634" s="226"/>
      <c r="G634" s="226"/>
      <c r="H634" s="226"/>
      <c r="I634" s="237"/>
      <c r="J634" s="226"/>
    </row>
    <row r="635" spans="1:10" x14ac:dyDescent="0.35">
      <c r="A635" s="189"/>
      <c r="B635" s="542"/>
      <c r="C635" s="8"/>
      <c r="D635" s="8"/>
      <c r="E635" s="236"/>
      <c r="F635" s="226"/>
      <c r="G635" s="226"/>
      <c r="H635" s="226"/>
      <c r="I635" s="237"/>
      <c r="J635" s="226"/>
    </row>
    <row r="636" spans="1:10" x14ac:dyDescent="0.35">
      <c r="A636" s="189"/>
      <c r="B636" s="542"/>
      <c r="C636" s="8"/>
      <c r="D636" s="8"/>
      <c r="E636" s="236"/>
      <c r="F636" s="226"/>
      <c r="G636" s="226"/>
      <c r="H636" s="226"/>
      <c r="I636" s="237"/>
      <c r="J636" s="226"/>
    </row>
    <row r="637" spans="1:10" x14ac:dyDescent="0.35">
      <c r="A637" s="189"/>
      <c r="B637" s="542"/>
      <c r="C637" s="8"/>
      <c r="D637" s="8"/>
      <c r="E637" s="236"/>
      <c r="F637" s="226"/>
      <c r="G637" s="226"/>
      <c r="H637" s="226"/>
      <c r="I637" s="237"/>
      <c r="J637" s="226"/>
    </row>
    <row r="638" spans="1:10" x14ac:dyDescent="0.35">
      <c r="A638" s="189"/>
      <c r="B638" s="541"/>
      <c r="C638" s="8"/>
      <c r="D638" s="8"/>
      <c r="E638" s="236"/>
      <c r="F638" s="226"/>
      <c r="G638" s="226"/>
      <c r="H638" s="226"/>
      <c r="I638" s="237"/>
      <c r="J638" s="226"/>
    </row>
    <row r="639" spans="1:10" x14ac:dyDescent="0.35">
      <c r="A639" s="189"/>
      <c r="B639" s="542"/>
      <c r="C639" s="8"/>
      <c r="D639" s="8"/>
      <c r="E639" s="236"/>
      <c r="F639" s="226"/>
      <c r="G639" s="226"/>
      <c r="H639" s="226"/>
      <c r="I639" s="237"/>
      <c r="J639" s="226"/>
    </row>
    <row r="640" spans="1:10" x14ac:dyDescent="0.35">
      <c r="A640" s="189"/>
      <c r="B640" s="542"/>
      <c r="C640" s="8"/>
      <c r="D640" s="8"/>
      <c r="E640" s="236"/>
      <c r="F640" s="226"/>
      <c r="G640" s="226"/>
      <c r="H640" s="226"/>
      <c r="I640" s="237"/>
      <c r="J640" s="226"/>
    </row>
    <row r="641" spans="1:10" x14ac:dyDescent="0.35">
      <c r="A641" s="189"/>
      <c r="B641" s="542"/>
      <c r="C641" s="8"/>
      <c r="D641" s="8"/>
      <c r="E641" s="236"/>
      <c r="F641" s="226"/>
      <c r="G641" s="226"/>
      <c r="H641" s="226"/>
      <c r="I641" s="237"/>
      <c r="J641" s="226"/>
    </row>
    <row r="642" spans="1:10" x14ac:dyDescent="0.35">
      <c r="A642" s="189"/>
      <c r="B642" s="542"/>
      <c r="C642" s="8"/>
      <c r="D642" s="8"/>
      <c r="E642" s="236"/>
      <c r="F642" s="226"/>
      <c r="G642" s="226"/>
      <c r="H642" s="226"/>
      <c r="I642" s="237"/>
      <c r="J642" s="226"/>
    </row>
    <row r="643" spans="1:10" x14ac:dyDescent="0.35">
      <c r="A643" s="189"/>
      <c r="B643" s="542"/>
      <c r="C643" s="8"/>
      <c r="D643" s="8"/>
      <c r="E643" s="236"/>
      <c r="F643" s="226"/>
      <c r="G643" s="226"/>
      <c r="H643" s="226"/>
      <c r="I643" s="237"/>
      <c r="J643" s="226"/>
    </row>
    <row r="644" spans="1:10" x14ac:dyDescent="0.35">
      <c r="A644" s="189"/>
      <c r="B644" s="542"/>
      <c r="C644" s="8"/>
      <c r="D644" s="8"/>
      <c r="E644" s="236"/>
      <c r="F644" s="226"/>
      <c r="G644" s="226"/>
      <c r="H644" s="226"/>
      <c r="I644" s="237"/>
      <c r="J644" s="226"/>
    </row>
    <row r="645" spans="1:10" x14ac:dyDescent="0.35">
      <c r="A645" s="189"/>
      <c r="B645" s="542"/>
      <c r="C645" s="8"/>
      <c r="D645" s="8"/>
      <c r="E645" s="236"/>
      <c r="F645" s="226"/>
      <c r="G645" s="226"/>
      <c r="H645" s="226"/>
      <c r="I645" s="237"/>
      <c r="J645" s="226"/>
    </row>
    <row r="646" spans="1:10" x14ac:dyDescent="0.35">
      <c r="A646" s="189"/>
      <c r="B646" s="542"/>
      <c r="C646" s="8"/>
      <c r="D646" s="8"/>
      <c r="E646" s="236"/>
      <c r="F646" s="226"/>
      <c r="G646" s="226"/>
      <c r="H646" s="226"/>
      <c r="I646" s="237"/>
      <c r="J646" s="226"/>
    </row>
    <row r="647" spans="1:10" x14ac:dyDescent="0.35">
      <c r="A647" s="189"/>
      <c r="B647" s="542"/>
      <c r="C647" s="8"/>
      <c r="D647" s="8"/>
      <c r="E647" s="236"/>
      <c r="F647" s="226"/>
      <c r="G647" s="226"/>
      <c r="H647" s="226"/>
      <c r="I647" s="237"/>
      <c r="J647" s="226"/>
    </row>
    <row r="648" spans="1:10" x14ac:dyDescent="0.35">
      <c r="A648" s="189"/>
      <c r="B648" s="542"/>
      <c r="C648" s="8"/>
      <c r="D648" s="8"/>
      <c r="E648" s="236"/>
      <c r="F648" s="226"/>
      <c r="G648" s="226"/>
      <c r="H648" s="226"/>
      <c r="I648" s="237"/>
      <c r="J648" s="226"/>
    </row>
    <row r="649" spans="1:10" x14ac:dyDescent="0.35">
      <c r="A649" s="189"/>
      <c r="B649" s="542"/>
      <c r="C649" s="8"/>
      <c r="D649" s="8"/>
      <c r="E649" s="236"/>
      <c r="F649" s="226"/>
      <c r="G649" s="226"/>
      <c r="H649" s="226"/>
      <c r="I649" s="237"/>
      <c r="J649" s="226"/>
    </row>
    <row r="650" spans="1:10" x14ac:dyDescent="0.35">
      <c r="A650" s="189"/>
      <c r="B650" s="542"/>
      <c r="C650" s="8"/>
      <c r="D650" s="8"/>
      <c r="E650" s="236"/>
      <c r="F650" s="226"/>
      <c r="G650" s="226"/>
      <c r="H650" s="226"/>
      <c r="I650" s="237"/>
      <c r="J650" s="226"/>
    </row>
    <row r="651" spans="1:10" x14ac:dyDescent="0.35">
      <c r="A651" s="189"/>
      <c r="B651" s="542"/>
      <c r="C651" s="8"/>
      <c r="D651" s="8"/>
      <c r="E651" s="236"/>
      <c r="F651" s="226"/>
      <c r="G651" s="226"/>
      <c r="H651" s="226"/>
      <c r="I651" s="237"/>
      <c r="J651" s="226"/>
    </row>
    <row r="652" spans="1:10" x14ac:dyDescent="0.35">
      <c r="A652" s="189"/>
      <c r="B652" s="542"/>
      <c r="C652" s="8"/>
      <c r="D652" s="8"/>
      <c r="E652" s="236"/>
      <c r="F652" s="226"/>
      <c r="G652" s="226"/>
      <c r="H652" s="226"/>
      <c r="I652" s="237"/>
      <c r="J652" s="226"/>
    </row>
    <row r="653" spans="1:10" x14ac:dyDescent="0.35">
      <c r="A653" s="189"/>
      <c r="B653" s="542"/>
      <c r="C653" s="8"/>
      <c r="D653" s="8"/>
      <c r="E653" s="236"/>
      <c r="F653" s="226"/>
      <c r="G653" s="226"/>
      <c r="H653" s="226"/>
      <c r="I653" s="237"/>
      <c r="J653" s="226"/>
    </row>
    <row r="654" spans="1:10" x14ac:dyDescent="0.35">
      <c r="A654" s="189"/>
      <c r="B654" s="542"/>
      <c r="C654" s="8"/>
      <c r="D654" s="8"/>
      <c r="E654" s="236"/>
      <c r="F654" s="226"/>
      <c r="G654" s="226"/>
      <c r="H654" s="226"/>
      <c r="I654" s="237"/>
      <c r="J654" s="226"/>
    </row>
    <row r="655" spans="1:10" x14ac:dyDescent="0.35">
      <c r="A655" s="189"/>
      <c r="B655" s="541"/>
      <c r="C655" s="8"/>
      <c r="D655" s="8"/>
      <c r="E655" s="236"/>
      <c r="F655" s="226"/>
      <c r="G655" s="226"/>
      <c r="H655" s="226"/>
      <c r="I655" s="237"/>
      <c r="J655" s="226"/>
    </row>
    <row r="656" spans="1:10" x14ac:dyDescent="0.35">
      <c r="A656" s="189"/>
      <c r="B656" s="542"/>
      <c r="C656" s="8"/>
      <c r="D656" s="8"/>
      <c r="E656" s="236"/>
      <c r="F656" s="226"/>
      <c r="G656" s="226"/>
      <c r="H656" s="226"/>
      <c r="I656" s="237"/>
      <c r="J656" s="226"/>
    </row>
    <row r="657" spans="1:10" x14ac:dyDescent="0.35">
      <c r="A657" s="189"/>
      <c r="B657" s="542"/>
      <c r="C657" s="8"/>
      <c r="D657" s="8"/>
      <c r="E657" s="236"/>
      <c r="F657" s="226"/>
      <c r="G657" s="226"/>
      <c r="H657" s="226"/>
      <c r="I657" s="237"/>
      <c r="J657" s="226"/>
    </row>
    <row r="658" spans="1:10" x14ac:dyDescent="0.35">
      <c r="A658" s="189"/>
      <c r="B658" s="542"/>
      <c r="C658" s="8"/>
      <c r="D658" s="8"/>
      <c r="E658" s="236"/>
      <c r="F658" s="226"/>
      <c r="G658" s="226"/>
      <c r="H658" s="226"/>
      <c r="I658" s="237"/>
      <c r="J658" s="226"/>
    </row>
    <row r="659" spans="1:10" x14ac:dyDescent="0.35">
      <c r="A659" s="189"/>
      <c r="B659" s="542"/>
      <c r="C659" s="8"/>
      <c r="D659" s="8"/>
      <c r="E659" s="236"/>
      <c r="F659" s="226"/>
      <c r="G659" s="226"/>
      <c r="H659" s="226"/>
      <c r="I659" s="237"/>
      <c r="J659" s="226"/>
    </row>
    <row r="660" spans="1:10" x14ac:dyDescent="0.35">
      <c r="A660" s="189"/>
      <c r="B660" s="542"/>
      <c r="C660" s="8"/>
      <c r="D660" s="8"/>
      <c r="E660" s="236"/>
      <c r="F660" s="226"/>
      <c r="G660" s="226"/>
      <c r="H660" s="226"/>
      <c r="I660" s="237"/>
      <c r="J660" s="226"/>
    </row>
    <row r="661" spans="1:10" x14ac:dyDescent="0.35">
      <c r="A661" s="189"/>
      <c r="B661" s="542"/>
      <c r="C661" s="8"/>
      <c r="D661" s="8"/>
      <c r="E661" s="236"/>
      <c r="F661" s="226"/>
      <c r="G661" s="226"/>
      <c r="H661" s="226"/>
      <c r="I661" s="237"/>
      <c r="J661" s="226"/>
    </row>
    <row r="662" spans="1:10" x14ac:dyDescent="0.35">
      <c r="A662" s="189"/>
      <c r="B662" s="542"/>
      <c r="C662" s="8"/>
      <c r="D662" s="8"/>
      <c r="E662" s="236"/>
      <c r="F662" s="226"/>
      <c r="G662" s="226"/>
      <c r="H662" s="226"/>
      <c r="I662" s="237"/>
      <c r="J662" s="226"/>
    </row>
    <row r="663" spans="1:10" x14ac:dyDescent="0.35">
      <c r="A663" s="189"/>
      <c r="B663" s="542"/>
      <c r="C663" s="8"/>
      <c r="D663" s="8"/>
      <c r="E663" s="236"/>
      <c r="F663" s="226"/>
      <c r="G663" s="226"/>
      <c r="H663" s="226"/>
      <c r="I663" s="237"/>
      <c r="J663" s="226"/>
    </row>
    <row r="664" spans="1:10" x14ac:dyDescent="0.35">
      <c r="A664" s="189"/>
      <c r="B664" s="542"/>
      <c r="C664" s="8"/>
      <c r="D664" s="8"/>
      <c r="E664" s="236"/>
      <c r="F664" s="226"/>
      <c r="G664" s="226"/>
      <c r="H664" s="226"/>
      <c r="I664" s="237"/>
      <c r="J664" s="226"/>
    </row>
    <row r="665" spans="1:10" x14ac:dyDescent="0.35">
      <c r="A665" s="189"/>
      <c r="B665" s="542"/>
      <c r="C665" s="8"/>
      <c r="D665" s="8"/>
      <c r="E665" s="236"/>
      <c r="F665" s="226"/>
      <c r="G665" s="226"/>
      <c r="H665" s="226"/>
      <c r="I665" s="237"/>
      <c r="J665" s="226"/>
    </row>
    <row r="666" spans="1:10" x14ac:dyDescent="0.35">
      <c r="A666" s="189"/>
      <c r="B666" s="542"/>
      <c r="C666" s="8"/>
      <c r="D666" s="8"/>
      <c r="E666" s="236"/>
      <c r="F666" s="226"/>
      <c r="G666" s="226"/>
      <c r="H666" s="226"/>
      <c r="I666" s="237"/>
      <c r="J666" s="226"/>
    </row>
    <row r="667" spans="1:10" x14ac:dyDescent="0.35">
      <c r="A667" s="189"/>
      <c r="B667" s="542"/>
      <c r="C667" s="8"/>
      <c r="D667" s="8"/>
      <c r="E667" s="236"/>
      <c r="F667" s="226"/>
      <c r="G667" s="226"/>
      <c r="H667" s="226"/>
      <c r="I667" s="237"/>
      <c r="J667" s="226"/>
    </row>
    <row r="668" spans="1:10" x14ac:dyDescent="0.35">
      <c r="A668" s="189"/>
      <c r="B668" s="542"/>
      <c r="C668" s="8"/>
      <c r="D668" s="8"/>
      <c r="E668" s="236"/>
      <c r="F668" s="226"/>
      <c r="G668" s="226"/>
      <c r="H668" s="226"/>
      <c r="I668" s="237"/>
      <c r="J668" s="226"/>
    </row>
    <row r="669" spans="1:10" x14ac:dyDescent="0.35">
      <c r="A669" s="189"/>
      <c r="B669" s="542"/>
      <c r="C669" s="8"/>
      <c r="D669" s="8"/>
      <c r="E669" s="236"/>
      <c r="F669" s="226"/>
      <c r="G669" s="226"/>
      <c r="H669" s="226"/>
      <c r="I669" s="237"/>
      <c r="J669" s="226"/>
    </row>
    <row r="670" spans="1:10" x14ac:dyDescent="0.35">
      <c r="A670" s="189"/>
      <c r="B670" s="542"/>
      <c r="C670" s="8"/>
      <c r="D670" s="8"/>
      <c r="E670" s="236"/>
      <c r="F670" s="226"/>
      <c r="G670" s="226"/>
      <c r="H670" s="226"/>
      <c r="I670" s="237"/>
      <c r="J670" s="226"/>
    </row>
    <row r="671" spans="1:10" x14ac:dyDescent="0.35">
      <c r="A671" s="189"/>
      <c r="B671" s="542"/>
      <c r="C671" s="8"/>
      <c r="D671" s="8"/>
      <c r="E671" s="236"/>
      <c r="F671" s="226"/>
      <c r="G671" s="226"/>
      <c r="H671" s="226"/>
      <c r="I671" s="237"/>
      <c r="J671" s="226"/>
    </row>
    <row r="672" spans="1:10" x14ac:dyDescent="0.35">
      <c r="A672" s="189"/>
      <c r="B672" s="541"/>
      <c r="C672" s="8"/>
      <c r="D672" s="8"/>
      <c r="E672" s="236"/>
      <c r="F672" s="226"/>
      <c r="G672" s="226"/>
      <c r="H672" s="226"/>
      <c r="I672" s="237"/>
      <c r="J672" s="226"/>
    </row>
    <row r="673" spans="1:10" x14ac:dyDescent="0.35">
      <c r="A673" s="189"/>
      <c r="B673" s="542"/>
      <c r="C673" s="8"/>
      <c r="D673" s="8"/>
      <c r="E673" s="236"/>
      <c r="F673" s="226"/>
      <c r="G673" s="226"/>
      <c r="H673" s="226"/>
      <c r="I673" s="237"/>
      <c r="J673" s="226"/>
    </row>
    <row r="674" spans="1:10" x14ac:dyDescent="0.35">
      <c r="A674" s="189"/>
      <c r="B674" s="542"/>
      <c r="C674" s="8"/>
      <c r="D674" s="8"/>
      <c r="E674" s="236"/>
      <c r="F674" s="226"/>
      <c r="G674" s="226"/>
      <c r="H674" s="226"/>
      <c r="I674" s="237"/>
      <c r="J674" s="226"/>
    </row>
    <row r="675" spans="1:10" x14ac:dyDescent="0.35">
      <c r="A675" s="189"/>
      <c r="B675" s="542"/>
      <c r="C675" s="8"/>
      <c r="D675" s="8"/>
      <c r="E675" s="236"/>
      <c r="F675" s="226"/>
      <c r="G675" s="226"/>
      <c r="H675" s="226"/>
      <c r="I675" s="237"/>
      <c r="J675" s="226"/>
    </row>
    <row r="676" spans="1:10" x14ac:dyDescent="0.35">
      <c r="A676" s="189"/>
      <c r="B676" s="542"/>
      <c r="C676" s="8"/>
      <c r="D676" s="8"/>
      <c r="E676" s="236"/>
      <c r="F676" s="226"/>
      <c r="G676" s="226"/>
      <c r="H676" s="226"/>
      <c r="I676" s="237"/>
      <c r="J676" s="226"/>
    </row>
    <row r="677" spans="1:10" x14ac:dyDescent="0.35">
      <c r="A677" s="189"/>
      <c r="B677" s="542"/>
      <c r="C677" s="8"/>
      <c r="D677" s="8"/>
      <c r="E677" s="236"/>
      <c r="F677" s="226"/>
      <c r="G677" s="226"/>
      <c r="H677" s="226"/>
      <c r="I677" s="237"/>
      <c r="J677" s="226"/>
    </row>
    <row r="678" spans="1:10" x14ac:dyDescent="0.35">
      <c r="A678" s="189"/>
      <c r="B678" s="542"/>
      <c r="C678" s="8"/>
      <c r="D678" s="8"/>
      <c r="E678" s="236"/>
      <c r="F678" s="226"/>
      <c r="G678" s="226"/>
      <c r="H678" s="226"/>
      <c r="I678" s="237"/>
      <c r="J678" s="226"/>
    </row>
    <row r="679" spans="1:10" x14ac:dyDescent="0.35">
      <c r="A679" s="189"/>
      <c r="B679" s="542"/>
      <c r="C679" s="8"/>
      <c r="D679" s="8"/>
      <c r="E679" s="236"/>
      <c r="F679" s="226"/>
      <c r="G679" s="226"/>
      <c r="H679" s="226"/>
      <c r="I679" s="237"/>
      <c r="J679" s="226"/>
    </row>
    <row r="680" spans="1:10" x14ac:dyDescent="0.35">
      <c r="A680" s="189"/>
      <c r="B680" s="542"/>
      <c r="C680" s="8"/>
      <c r="D680" s="8"/>
      <c r="E680" s="236"/>
      <c r="F680" s="226"/>
      <c r="G680" s="226"/>
      <c r="H680" s="226"/>
      <c r="I680" s="237"/>
      <c r="J680" s="226"/>
    </row>
    <row r="681" spans="1:10" x14ac:dyDescent="0.35">
      <c r="A681" s="189"/>
      <c r="B681" s="542"/>
      <c r="C681" s="8"/>
      <c r="D681" s="8"/>
      <c r="E681" s="236"/>
      <c r="F681" s="226"/>
      <c r="G681" s="226"/>
      <c r="H681" s="226"/>
      <c r="I681" s="237"/>
      <c r="J681" s="226"/>
    </row>
    <row r="682" spans="1:10" x14ac:dyDescent="0.35">
      <c r="A682" s="189"/>
      <c r="B682" s="542"/>
      <c r="C682" s="8"/>
      <c r="D682" s="8"/>
      <c r="E682" s="236"/>
      <c r="F682" s="226"/>
      <c r="G682" s="226"/>
      <c r="H682" s="226"/>
      <c r="I682" s="237"/>
      <c r="J682" s="226"/>
    </row>
    <row r="683" spans="1:10" x14ac:dyDescent="0.35">
      <c r="A683" s="189"/>
      <c r="B683" s="542"/>
      <c r="C683" s="8"/>
      <c r="D683" s="8"/>
      <c r="E683" s="236"/>
      <c r="F683" s="226"/>
      <c r="G683" s="226"/>
      <c r="H683" s="226"/>
      <c r="I683" s="237"/>
      <c r="J683" s="226"/>
    </row>
    <row r="684" spans="1:10" x14ac:dyDescent="0.35">
      <c r="A684" s="189"/>
      <c r="B684" s="542"/>
      <c r="C684" s="8"/>
      <c r="D684" s="8"/>
      <c r="E684" s="236"/>
      <c r="F684" s="226"/>
      <c r="G684" s="226"/>
      <c r="H684" s="226"/>
      <c r="I684" s="237"/>
      <c r="J684" s="226"/>
    </row>
    <row r="685" spans="1:10" x14ac:dyDescent="0.35">
      <c r="A685" s="189"/>
      <c r="B685" s="542"/>
      <c r="C685" s="8"/>
      <c r="D685" s="8"/>
      <c r="E685" s="236"/>
      <c r="F685" s="226"/>
      <c r="G685" s="226"/>
      <c r="H685" s="226"/>
      <c r="I685" s="237"/>
      <c r="J685" s="226"/>
    </row>
    <row r="686" spans="1:10" x14ac:dyDescent="0.35">
      <c r="A686" s="189"/>
      <c r="B686" s="542"/>
      <c r="C686" s="8"/>
      <c r="D686" s="8"/>
      <c r="E686" s="236"/>
      <c r="F686" s="226"/>
      <c r="G686" s="226"/>
      <c r="H686" s="226"/>
      <c r="I686" s="237"/>
      <c r="J686" s="226"/>
    </row>
    <row r="687" spans="1:10" x14ac:dyDescent="0.35">
      <c r="A687" s="189"/>
      <c r="B687" s="542"/>
      <c r="C687" s="8"/>
      <c r="D687" s="8"/>
      <c r="E687" s="236"/>
      <c r="F687" s="226"/>
      <c r="G687" s="226"/>
      <c r="H687" s="226"/>
      <c r="I687" s="237"/>
      <c r="J687" s="226"/>
    </row>
    <row r="688" spans="1:10" x14ac:dyDescent="0.35">
      <c r="A688" s="189"/>
      <c r="B688" s="542"/>
      <c r="C688" s="8"/>
      <c r="D688" s="8"/>
      <c r="E688" s="236"/>
      <c r="F688" s="226"/>
      <c r="G688" s="226"/>
      <c r="H688" s="226"/>
      <c r="I688" s="237"/>
      <c r="J688" s="226"/>
    </row>
    <row r="689" spans="1:10" x14ac:dyDescent="0.35">
      <c r="A689" s="189"/>
      <c r="B689" s="541"/>
      <c r="C689" s="8"/>
      <c r="D689" s="8"/>
      <c r="E689" s="236"/>
      <c r="F689" s="226"/>
      <c r="G689" s="226"/>
      <c r="H689" s="226"/>
      <c r="I689" s="237"/>
      <c r="J689" s="226"/>
    </row>
    <row r="690" spans="1:10" x14ac:dyDescent="0.35">
      <c r="A690" s="189"/>
      <c r="B690" s="542"/>
      <c r="C690" s="8"/>
      <c r="D690" s="8"/>
      <c r="E690" s="236"/>
      <c r="F690" s="226"/>
      <c r="G690" s="226"/>
      <c r="H690" s="226"/>
      <c r="I690" s="237"/>
      <c r="J690" s="226"/>
    </row>
    <row r="691" spans="1:10" x14ac:dyDescent="0.35">
      <c r="A691" s="189"/>
      <c r="B691" s="542"/>
      <c r="C691" s="8"/>
      <c r="D691" s="8"/>
      <c r="E691" s="236"/>
      <c r="F691" s="226"/>
      <c r="G691" s="226"/>
      <c r="H691" s="226"/>
      <c r="I691" s="237"/>
      <c r="J691" s="226"/>
    </row>
    <row r="692" spans="1:10" x14ac:dyDescent="0.35">
      <c r="A692" s="189"/>
      <c r="B692" s="542"/>
      <c r="C692" s="8"/>
      <c r="D692" s="8"/>
      <c r="E692" s="236"/>
      <c r="F692" s="226"/>
      <c r="G692" s="226"/>
      <c r="H692" s="226"/>
      <c r="I692" s="237"/>
      <c r="J692" s="226"/>
    </row>
    <row r="693" spans="1:10" x14ac:dyDescent="0.35">
      <c r="A693" s="189"/>
      <c r="B693" s="542"/>
      <c r="C693" s="8"/>
      <c r="D693" s="8"/>
      <c r="E693" s="236"/>
      <c r="F693" s="226"/>
      <c r="G693" s="226"/>
      <c r="H693" s="226"/>
      <c r="I693" s="237"/>
      <c r="J693" s="226"/>
    </row>
    <row r="694" spans="1:10" x14ac:dyDescent="0.35">
      <c r="A694" s="189"/>
      <c r="B694" s="542"/>
      <c r="C694" s="8"/>
      <c r="D694" s="8"/>
      <c r="E694" s="236"/>
      <c r="F694" s="226"/>
      <c r="G694" s="226"/>
      <c r="H694" s="226"/>
      <c r="I694" s="237"/>
      <c r="J694" s="226"/>
    </row>
    <row r="695" spans="1:10" x14ac:dyDescent="0.35">
      <c r="A695" s="189"/>
      <c r="B695" s="542"/>
      <c r="C695" s="8"/>
      <c r="D695" s="8"/>
      <c r="E695" s="236"/>
      <c r="F695" s="226"/>
      <c r="G695" s="226"/>
      <c r="H695" s="226"/>
      <c r="I695" s="237"/>
      <c r="J695" s="226"/>
    </row>
    <row r="696" spans="1:10" x14ac:dyDescent="0.35">
      <c r="A696" s="189"/>
      <c r="B696" s="542"/>
      <c r="C696" s="8"/>
      <c r="D696" s="8"/>
      <c r="E696" s="236"/>
      <c r="F696" s="226"/>
      <c r="G696" s="226"/>
      <c r="H696" s="226"/>
      <c r="I696" s="237"/>
      <c r="J696" s="226"/>
    </row>
    <row r="697" spans="1:10" x14ac:dyDescent="0.35">
      <c r="A697" s="189"/>
      <c r="B697" s="542"/>
      <c r="C697" s="8"/>
      <c r="D697" s="8"/>
      <c r="E697" s="236"/>
      <c r="F697" s="226"/>
      <c r="G697" s="226"/>
      <c r="H697" s="226"/>
      <c r="I697" s="237"/>
      <c r="J697" s="226"/>
    </row>
    <row r="698" spans="1:10" x14ac:dyDescent="0.35">
      <c r="A698" s="189"/>
      <c r="B698" s="542"/>
      <c r="C698" s="8"/>
      <c r="D698" s="8"/>
      <c r="E698" s="236"/>
      <c r="F698" s="226"/>
      <c r="G698" s="226"/>
      <c r="H698" s="226"/>
      <c r="I698" s="237"/>
      <c r="J698" s="226"/>
    </row>
    <row r="699" spans="1:10" x14ac:dyDescent="0.35">
      <c r="A699" s="189"/>
      <c r="B699" s="542"/>
      <c r="C699" s="8"/>
      <c r="D699" s="8"/>
      <c r="E699" s="236"/>
      <c r="F699" s="226"/>
      <c r="G699" s="226"/>
      <c r="H699" s="226"/>
      <c r="I699" s="237"/>
      <c r="J699" s="226"/>
    </row>
    <row r="700" spans="1:10" x14ac:dyDescent="0.35">
      <c r="A700" s="189"/>
      <c r="B700" s="542"/>
      <c r="C700" s="8"/>
      <c r="D700" s="8"/>
      <c r="E700" s="236"/>
      <c r="F700" s="226"/>
      <c r="G700" s="226"/>
      <c r="H700" s="226"/>
      <c r="I700" s="237"/>
      <c r="J700" s="226"/>
    </row>
    <row r="701" spans="1:10" x14ac:dyDescent="0.35">
      <c r="A701" s="189"/>
      <c r="B701" s="542"/>
      <c r="C701" s="8"/>
      <c r="D701" s="8"/>
      <c r="E701" s="236"/>
      <c r="F701" s="226"/>
      <c r="G701" s="226"/>
      <c r="H701" s="226"/>
      <c r="I701" s="237"/>
      <c r="J701" s="226"/>
    </row>
    <row r="702" spans="1:10" x14ac:dyDescent="0.35">
      <c r="A702" s="189"/>
      <c r="B702" s="542"/>
      <c r="C702" s="8"/>
      <c r="D702" s="8"/>
      <c r="E702" s="236"/>
      <c r="F702" s="226"/>
      <c r="G702" s="226"/>
      <c r="H702" s="226"/>
      <c r="I702" s="237"/>
      <c r="J702" s="226"/>
    </row>
    <row r="703" spans="1:10" x14ac:dyDescent="0.35">
      <c r="A703" s="189"/>
      <c r="B703" s="542"/>
      <c r="C703" s="8"/>
      <c r="D703" s="8"/>
      <c r="E703" s="236"/>
      <c r="F703" s="226"/>
      <c r="G703" s="226"/>
      <c r="H703" s="226"/>
      <c r="I703" s="237"/>
      <c r="J703" s="226"/>
    </row>
    <row r="704" spans="1:10" x14ac:dyDescent="0.35">
      <c r="A704" s="189"/>
      <c r="B704" s="542"/>
      <c r="C704" s="8"/>
      <c r="D704" s="8"/>
      <c r="E704" s="236"/>
      <c r="F704" s="226"/>
      <c r="G704" s="226"/>
      <c r="H704" s="226"/>
      <c r="I704" s="237"/>
      <c r="J704" s="226"/>
    </row>
    <row r="705" spans="1:10" x14ac:dyDescent="0.35">
      <c r="A705" s="189"/>
      <c r="B705" s="542"/>
      <c r="C705" s="8"/>
      <c r="D705" s="8"/>
      <c r="E705" s="236"/>
      <c r="F705" s="226"/>
      <c r="G705" s="226"/>
      <c r="H705" s="226"/>
      <c r="I705" s="237"/>
      <c r="J705" s="226"/>
    </row>
    <row r="706" spans="1:10" x14ac:dyDescent="0.35">
      <c r="A706" s="189"/>
      <c r="B706" s="541"/>
      <c r="C706" s="8"/>
      <c r="D706" s="8"/>
      <c r="E706" s="236"/>
      <c r="F706" s="226"/>
      <c r="G706" s="226"/>
      <c r="H706" s="226"/>
      <c r="I706" s="237"/>
      <c r="J706" s="226"/>
    </row>
    <row r="707" spans="1:10" x14ac:dyDescent="0.35">
      <c r="A707" s="189"/>
      <c r="B707" s="542"/>
      <c r="C707" s="8"/>
      <c r="D707" s="8"/>
      <c r="E707" s="236"/>
      <c r="F707" s="226"/>
      <c r="G707" s="226"/>
      <c r="H707" s="226"/>
      <c r="I707" s="237"/>
      <c r="J707" s="226"/>
    </row>
    <row r="708" spans="1:10" x14ac:dyDescent="0.35">
      <c r="A708" s="189"/>
      <c r="B708" s="542"/>
      <c r="C708" s="8"/>
      <c r="D708" s="8"/>
      <c r="E708" s="236"/>
      <c r="F708" s="226"/>
      <c r="G708" s="226"/>
      <c r="H708" s="226"/>
      <c r="I708" s="237"/>
      <c r="J708" s="226"/>
    </row>
    <row r="709" spans="1:10" x14ac:dyDescent="0.35">
      <c r="A709" s="189"/>
      <c r="B709" s="542"/>
      <c r="C709" s="8"/>
      <c r="D709" s="8"/>
      <c r="E709" s="236"/>
      <c r="F709" s="226"/>
      <c r="G709" s="226"/>
      <c r="H709" s="226"/>
      <c r="I709" s="237"/>
      <c r="J709" s="226"/>
    </row>
    <row r="710" spans="1:10" x14ac:dyDescent="0.35">
      <c r="A710" s="189"/>
      <c r="B710" s="542"/>
      <c r="C710" s="8"/>
      <c r="D710" s="8"/>
      <c r="E710" s="236"/>
      <c r="F710" s="226"/>
      <c r="G710" s="226"/>
      <c r="H710" s="226"/>
      <c r="I710" s="237"/>
      <c r="J710" s="226"/>
    </row>
    <row r="711" spans="1:10" x14ac:dyDescent="0.35">
      <c r="A711" s="189"/>
      <c r="B711" s="542"/>
      <c r="C711" s="8"/>
      <c r="D711" s="8"/>
      <c r="E711" s="236"/>
      <c r="F711" s="226"/>
      <c r="G711" s="226"/>
      <c r="H711" s="226"/>
      <c r="I711" s="237"/>
      <c r="J711" s="226"/>
    </row>
    <row r="712" spans="1:10" x14ac:dyDescent="0.35">
      <c r="A712" s="189"/>
      <c r="B712" s="542"/>
      <c r="C712" s="8"/>
      <c r="D712" s="8"/>
      <c r="E712" s="236"/>
      <c r="F712" s="226"/>
      <c r="G712" s="226"/>
      <c r="H712" s="226"/>
      <c r="I712" s="237"/>
      <c r="J712" s="226"/>
    </row>
    <row r="713" spans="1:10" x14ac:dyDescent="0.35">
      <c r="A713" s="189"/>
      <c r="B713" s="542"/>
      <c r="C713" s="8"/>
      <c r="D713" s="8"/>
      <c r="E713" s="236"/>
      <c r="F713" s="226"/>
      <c r="G713" s="226"/>
      <c r="H713" s="226"/>
      <c r="I713" s="237"/>
      <c r="J713" s="226"/>
    </row>
    <row r="714" spans="1:10" x14ac:dyDescent="0.35">
      <c r="A714" s="189"/>
      <c r="B714" s="542"/>
      <c r="C714" s="8"/>
      <c r="D714" s="8"/>
      <c r="E714" s="236"/>
      <c r="F714" s="226"/>
      <c r="G714" s="226"/>
      <c r="H714" s="226"/>
      <c r="I714" s="237"/>
      <c r="J714" s="226"/>
    </row>
    <row r="715" spans="1:10" x14ac:dyDescent="0.35">
      <c r="A715" s="189"/>
      <c r="B715" s="542"/>
      <c r="C715" s="8"/>
      <c r="D715" s="8"/>
      <c r="E715" s="236"/>
      <c r="F715" s="226"/>
      <c r="G715" s="226"/>
      <c r="H715" s="226"/>
      <c r="I715" s="237"/>
      <c r="J715" s="226"/>
    </row>
    <row r="716" spans="1:10" x14ac:dyDescent="0.35">
      <c r="A716" s="189"/>
      <c r="B716" s="542"/>
      <c r="C716" s="8"/>
      <c r="D716" s="8"/>
      <c r="E716" s="236"/>
      <c r="F716" s="226"/>
      <c r="G716" s="226"/>
      <c r="H716" s="226"/>
      <c r="I716" s="237"/>
      <c r="J716" s="226"/>
    </row>
    <row r="717" spans="1:10" x14ac:dyDescent="0.35">
      <c r="A717" s="189"/>
      <c r="B717" s="542"/>
      <c r="C717" s="8"/>
      <c r="D717" s="8"/>
      <c r="E717" s="236"/>
      <c r="F717" s="226"/>
      <c r="G717" s="226"/>
      <c r="H717" s="226"/>
      <c r="I717" s="237"/>
      <c r="J717" s="226"/>
    </row>
    <row r="718" spans="1:10" x14ac:dyDescent="0.35">
      <c r="A718" s="189"/>
      <c r="B718" s="542"/>
      <c r="C718" s="8"/>
      <c r="D718" s="8"/>
      <c r="E718" s="236"/>
      <c r="F718" s="226"/>
      <c r="G718" s="226"/>
      <c r="H718" s="226"/>
      <c r="I718" s="237"/>
      <c r="J718" s="226"/>
    </row>
    <row r="719" spans="1:10" x14ac:dyDescent="0.35">
      <c r="A719" s="189"/>
      <c r="B719" s="542"/>
      <c r="C719" s="8"/>
      <c r="D719" s="8"/>
      <c r="E719" s="236"/>
      <c r="F719" s="226"/>
      <c r="G719" s="226"/>
      <c r="H719" s="226"/>
      <c r="I719" s="237"/>
      <c r="J719" s="226"/>
    </row>
    <row r="720" spans="1:10" x14ac:dyDescent="0.35">
      <c r="A720" s="189"/>
      <c r="B720" s="542"/>
      <c r="C720" s="8"/>
      <c r="D720" s="8"/>
      <c r="E720" s="236"/>
      <c r="F720" s="226"/>
      <c r="G720" s="226"/>
      <c r="H720" s="226"/>
      <c r="I720" s="237"/>
      <c r="J720" s="226"/>
    </row>
    <row r="721" spans="1:10" x14ac:dyDescent="0.35">
      <c r="A721" s="189"/>
      <c r="B721" s="542"/>
      <c r="C721" s="8"/>
      <c r="D721" s="8"/>
      <c r="E721" s="236"/>
      <c r="F721" s="226"/>
      <c r="G721" s="226"/>
      <c r="H721" s="226"/>
      <c r="I721" s="237"/>
      <c r="J721" s="226"/>
    </row>
    <row r="722" spans="1:10" x14ac:dyDescent="0.35">
      <c r="A722" s="189"/>
      <c r="B722" s="542"/>
      <c r="C722" s="8"/>
      <c r="D722" s="8"/>
      <c r="E722" s="236"/>
      <c r="F722" s="226"/>
      <c r="G722" s="226"/>
      <c r="H722" s="226"/>
      <c r="I722" s="237"/>
      <c r="J722" s="226"/>
    </row>
    <row r="723" spans="1:10" x14ac:dyDescent="0.35">
      <c r="A723" s="189"/>
      <c r="B723" s="541"/>
      <c r="C723" s="8"/>
      <c r="D723" s="8"/>
      <c r="E723" s="236"/>
      <c r="F723" s="226"/>
      <c r="G723" s="226"/>
      <c r="H723" s="226"/>
      <c r="I723" s="237"/>
      <c r="J723" s="226"/>
    </row>
    <row r="724" spans="1:10" x14ac:dyDescent="0.35">
      <c r="A724" s="189"/>
      <c r="B724" s="542"/>
      <c r="C724" s="8"/>
      <c r="D724" s="8"/>
      <c r="E724" s="236"/>
      <c r="F724" s="226"/>
      <c r="G724" s="226"/>
      <c r="H724" s="226"/>
      <c r="I724" s="237"/>
      <c r="J724" s="226"/>
    </row>
    <row r="725" spans="1:10" x14ac:dyDescent="0.35">
      <c r="A725" s="189"/>
      <c r="B725" s="542"/>
      <c r="C725" s="8"/>
      <c r="D725" s="8"/>
      <c r="E725" s="236"/>
      <c r="F725" s="226"/>
      <c r="G725" s="226"/>
      <c r="H725" s="226"/>
      <c r="I725" s="237"/>
      <c r="J725" s="226"/>
    </row>
    <row r="726" spans="1:10" x14ac:dyDescent="0.35">
      <c r="A726" s="189"/>
      <c r="B726" s="542"/>
      <c r="C726" s="8"/>
      <c r="D726" s="8"/>
      <c r="E726" s="236"/>
      <c r="F726" s="226"/>
      <c r="G726" s="226"/>
      <c r="H726" s="226"/>
      <c r="I726" s="237"/>
      <c r="J726" s="226"/>
    </row>
    <row r="727" spans="1:10" x14ac:dyDescent="0.35">
      <c r="A727" s="189"/>
      <c r="B727" s="542"/>
      <c r="C727" s="8"/>
      <c r="D727" s="8"/>
      <c r="E727" s="236"/>
      <c r="F727" s="226"/>
      <c r="G727" s="226"/>
      <c r="H727" s="226"/>
      <c r="I727" s="237"/>
      <c r="J727" s="226"/>
    </row>
    <row r="728" spans="1:10" x14ac:dyDescent="0.35">
      <c r="A728" s="189"/>
      <c r="B728" s="542"/>
      <c r="C728" s="8"/>
      <c r="D728" s="8"/>
      <c r="E728" s="236"/>
      <c r="F728" s="226"/>
      <c r="G728" s="226"/>
      <c r="H728" s="226"/>
      <c r="I728" s="237"/>
      <c r="J728" s="226"/>
    </row>
    <row r="729" spans="1:10" x14ac:dyDescent="0.35">
      <c r="A729" s="189"/>
      <c r="B729" s="542"/>
      <c r="C729" s="8"/>
      <c r="D729" s="8"/>
      <c r="E729" s="236"/>
      <c r="F729" s="226"/>
      <c r="G729" s="226"/>
      <c r="H729" s="226"/>
      <c r="I729" s="237"/>
      <c r="J729" s="226"/>
    </row>
    <row r="730" spans="1:10" x14ac:dyDescent="0.35">
      <c r="A730" s="189"/>
      <c r="B730" s="542"/>
      <c r="C730" s="8"/>
      <c r="D730" s="8"/>
      <c r="E730" s="236"/>
      <c r="F730" s="226"/>
      <c r="G730" s="226"/>
      <c r="H730" s="226"/>
      <c r="I730" s="237"/>
      <c r="J730" s="226"/>
    </row>
    <row r="731" spans="1:10" x14ac:dyDescent="0.35">
      <c r="A731" s="189"/>
      <c r="B731" s="542"/>
      <c r="C731" s="8"/>
      <c r="D731" s="8"/>
      <c r="E731" s="236"/>
      <c r="F731" s="226"/>
      <c r="G731" s="226"/>
      <c r="H731" s="226"/>
      <c r="I731" s="237"/>
      <c r="J731" s="226"/>
    </row>
    <row r="732" spans="1:10" x14ac:dyDescent="0.35">
      <c r="A732" s="189"/>
      <c r="B732" s="542"/>
      <c r="C732" s="8"/>
      <c r="D732" s="8"/>
      <c r="E732" s="236"/>
      <c r="F732" s="226"/>
      <c r="G732" s="226"/>
      <c r="H732" s="226"/>
      <c r="I732" s="237"/>
      <c r="J732" s="226"/>
    </row>
    <row r="733" spans="1:10" x14ac:dyDescent="0.35">
      <c r="A733" s="189"/>
      <c r="B733" s="542"/>
      <c r="C733" s="8"/>
      <c r="D733" s="8"/>
      <c r="E733" s="236"/>
      <c r="F733" s="226"/>
      <c r="G733" s="226"/>
      <c r="H733" s="226"/>
      <c r="I733" s="237"/>
      <c r="J733" s="226"/>
    </row>
    <row r="734" spans="1:10" x14ac:dyDescent="0.35">
      <c r="A734" s="189"/>
      <c r="B734" s="542"/>
      <c r="C734" s="8"/>
      <c r="D734" s="8"/>
      <c r="E734" s="236"/>
      <c r="F734" s="226"/>
      <c r="G734" s="226"/>
      <c r="H734" s="226"/>
      <c r="I734" s="237"/>
      <c r="J734" s="226"/>
    </row>
    <row r="735" spans="1:10" x14ac:dyDescent="0.35">
      <c r="A735" s="189"/>
      <c r="B735" s="542"/>
      <c r="C735" s="8"/>
      <c r="D735" s="8"/>
      <c r="E735" s="236"/>
      <c r="F735" s="226"/>
      <c r="G735" s="226"/>
      <c r="H735" s="226"/>
      <c r="I735" s="237"/>
      <c r="J735" s="226"/>
    </row>
    <row r="736" spans="1:10" x14ac:dyDescent="0.35">
      <c r="A736" s="189"/>
      <c r="B736" s="542"/>
      <c r="C736" s="8"/>
      <c r="D736" s="8"/>
      <c r="E736" s="236"/>
      <c r="F736" s="226"/>
      <c r="G736" s="226"/>
      <c r="H736" s="226"/>
      <c r="I736" s="237"/>
      <c r="J736" s="226"/>
    </row>
    <row r="737" spans="1:10" x14ac:dyDescent="0.35">
      <c r="A737" s="189"/>
      <c r="B737" s="542"/>
      <c r="C737" s="8"/>
      <c r="D737" s="8"/>
      <c r="E737" s="236"/>
      <c r="F737" s="226"/>
      <c r="G737" s="226"/>
      <c r="H737" s="226"/>
      <c r="I737" s="237"/>
      <c r="J737" s="226"/>
    </row>
    <row r="738" spans="1:10" x14ac:dyDescent="0.35">
      <c r="A738" s="189"/>
      <c r="B738" s="542"/>
      <c r="C738" s="8"/>
      <c r="D738" s="8"/>
      <c r="E738" s="236"/>
      <c r="F738" s="226"/>
      <c r="G738" s="226"/>
      <c r="H738" s="226"/>
      <c r="I738" s="237"/>
      <c r="J738" s="226"/>
    </row>
    <row r="739" spans="1:10" x14ac:dyDescent="0.35">
      <c r="A739" s="189"/>
      <c r="B739" s="542"/>
      <c r="C739" s="8"/>
      <c r="D739" s="8"/>
      <c r="E739" s="236"/>
      <c r="F739" s="226"/>
      <c r="G739" s="226"/>
      <c r="H739" s="226"/>
      <c r="I739" s="237"/>
      <c r="J739" s="226"/>
    </row>
    <row r="740" spans="1:10" x14ac:dyDescent="0.35">
      <c r="A740" s="189"/>
      <c r="B740" s="541"/>
      <c r="C740" s="8"/>
      <c r="D740" s="8"/>
      <c r="E740" s="236"/>
      <c r="F740" s="226"/>
      <c r="G740" s="226"/>
      <c r="H740" s="226"/>
      <c r="I740" s="237"/>
      <c r="J740" s="226"/>
    </row>
    <row r="741" spans="1:10" x14ac:dyDescent="0.35">
      <c r="A741" s="189"/>
      <c r="B741" s="542"/>
      <c r="C741" s="8"/>
      <c r="D741" s="8"/>
      <c r="E741" s="236"/>
      <c r="F741" s="226"/>
      <c r="G741" s="226"/>
      <c r="H741" s="226"/>
      <c r="I741" s="237"/>
      <c r="J741" s="226"/>
    </row>
    <row r="742" spans="1:10" x14ac:dyDescent="0.35">
      <c r="A742" s="189"/>
      <c r="B742" s="542"/>
      <c r="C742" s="8"/>
      <c r="D742" s="8"/>
      <c r="E742" s="236"/>
      <c r="F742" s="226"/>
      <c r="G742" s="226"/>
      <c r="H742" s="226"/>
      <c r="I742" s="237"/>
      <c r="J742" s="226"/>
    </row>
    <row r="743" spans="1:10" x14ac:dyDescent="0.35">
      <c r="A743" s="189"/>
      <c r="B743" s="542"/>
      <c r="C743" s="8"/>
      <c r="D743" s="8"/>
      <c r="E743" s="236"/>
      <c r="F743" s="226"/>
      <c r="G743" s="226"/>
      <c r="H743" s="226"/>
      <c r="I743" s="237"/>
      <c r="J743" s="226"/>
    </row>
    <row r="744" spans="1:10" x14ac:dyDescent="0.35">
      <c r="A744" s="189"/>
      <c r="B744" s="542"/>
      <c r="C744" s="8"/>
      <c r="D744" s="8"/>
      <c r="E744" s="236"/>
      <c r="F744" s="226"/>
      <c r="G744" s="226"/>
      <c r="H744" s="226"/>
      <c r="I744" s="237"/>
      <c r="J744" s="226"/>
    </row>
    <row r="745" spans="1:10" x14ac:dyDescent="0.35">
      <c r="A745" s="189"/>
      <c r="B745" s="542"/>
      <c r="C745" s="8"/>
      <c r="D745" s="8"/>
      <c r="E745" s="236"/>
      <c r="F745" s="226"/>
      <c r="G745" s="226"/>
      <c r="H745" s="226"/>
      <c r="I745" s="237"/>
      <c r="J745" s="226"/>
    </row>
    <row r="746" spans="1:10" x14ac:dyDescent="0.35">
      <c r="A746" s="189"/>
      <c r="B746" s="542"/>
      <c r="C746" s="8"/>
      <c r="D746" s="8"/>
      <c r="E746" s="236"/>
      <c r="F746" s="226"/>
      <c r="G746" s="226"/>
      <c r="H746" s="226"/>
      <c r="I746" s="237"/>
      <c r="J746" s="226"/>
    </row>
    <row r="747" spans="1:10" x14ac:dyDescent="0.35">
      <c r="A747" s="189"/>
      <c r="B747" s="542"/>
      <c r="C747" s="8"/>
      <c r="D747" s="8"/>
      <c r="E747" s="236"/>
      <c r="F747" s="226"/>
      <c r="G747" s="226"/>
      <c r="H747" s="226"/>
      <c r="I747" s="237"/>
      <c r="J747" s="226"/>
    </row>
    <row r="748" spans="1:10" x14ac:dyDescent="0.35">
      <c r="A748" s="189"/>
      <c r="B748" s="542"/>
      <c r="C748" s="8"/>
      <c r="D748" s="8"/>
      <c r="E748" s="236"/>
      <c r="F748" s="226"/>
      <c r="G748" s="226"/>
      <c r="H748" s="226"/>
      <c r="I748" s="237"/>
      <c r="J748" s="226"/>
    </row>
    <row r="749" spans="1:10" x14ac:dyDescent="0.35">
      <c r="A749" s="189"/>
      <c r="B749" s="542"/>
      <c r="C749" s="8"/>
      <c r="D749" s="8"/>
      <c r="E749" s="236"/>
      <c r="F749" s="226"/>
      <c r="G749" s="226"/>
      <c r="H749" s="226"/>
      <c r="I749" s="237"/>
      <c r="J749" s="226"/>
    </row>
    <row r="750" spans="1:10" x14ac:dyDescent="0.35">
      <c r="A750" s="189"/>
      <c r="B750" s="542"/>
      <c r="C750" s="8"/>
      <c r="D750" s="8"/>
      <c r="E750" s="236"/>
      <c r="F750" s="226"/>
      <c r="G750" s="226"/>
      <c r="H750" s="226"/>
      <c r="I750" s="237"/>
      <c r="J750" s="226"/>
    </row>
    <row r="751" spans="1:10" x14ac:dyDescent="0.35">
      <c r="A751" s="189"/>
      <c r="B751" s="542"/>
      <c r="C751" s="8"/>
      <c r="D751" s="8"/>
      <c r="E751" s="236"/>
      <c r="F751" s="226"/>
      <c r="G751" s="226"/>
      <c r="H751" s="226"/>
      <c r="I751" s="237"/>
      <c r="J751" s="226"/>
    </row>
    <row r="752" spans="1:10" x14ac:dyDescent="0.35">
      <c r="A752" s="189"/>
      <c r="B752" s="542"/>
      <c r="C752" s="8"/>
      <c r="D752" s="8"/>
      <c r="E752" s="236"/>
      <c r="F752" s="226"/>
      <c r="G752" s="226"/>
      <c r="H752" s="226"/>
      <c r="I752" s="237"/>
      <c r="J752" s="226"/>
    </row>
    <row r="753" spans="1:10" x14ac:dyDescent="0.35">
      <c r="A753" s="189"/>
      <c r="B753" s="542"/>
      <c r="C753" s="8"/>
      <c r="D753" s="8"/>
      <c r="E753" s="236"/>
      <c r="F753" s="226"/>
      <c r="G753" s="226"/>
      <c r="H753" s="226"/>
      <c r="I753" s="237"/>
      <c r="J753" s="226"/>
    </row>
    <row r="754" spans="1:10" x14ac:dyDescent="0.35">
      <c r="A754" s="189"/>
      <c r="B754" s="542"/>
      <c r="C754" s="8"/>
      <c r="D754" s="8"/>
      <c r="E754" s="236"/>
      <c r="F754" s="226"/>
      <c r="G754" s="226"/>
      <c r="H754" s="226"/>
      <c r="I754" s="237"/>
      <c r="J754" s="226"/>
    </row>
    <row r="755" spans="1:10" x14ac:dyDescent="0.35">
      <c r="A755" s="189"/>
      <c r="B755" s="542"/>
      <c r="C755" s="8"/>
      <c r="D755" s="8"/>
      <c r="E755" s="236"/>
      <c r="F755" s="226"/>
      <c r="G755" s="226"/>
      <c r="H755" s="226"/>
      <c r="I755" s="237"/>
      <c r="J755" s="226"/>
    </row>
    <row r="756" spans="1:10" x14ac:dyDescent="0.35">
      <c r="A756" s="189"/>
      <c r="B756" s="542"/>
      <c r="C756" s="8"/>
      <c r="D756" s="8"/>
      <c r="E756" s="236"/>
      <c r="F756" s="226"/>
      <c r="G756" s="226"/>
      <c r="H756" s="226"/>
      <c r="I756" s="237"/>
      <c r="J756" s="226"/>
    </row>
    <row r="757" spans="1:10" x14ac:dyDescent="0.35">
      <c r="A757" s="189"/>
      <c r="B757" s="541"/>
      <c r="C757" s="8"/>
      <c r="D757" s="8"/>
      <c r="E757" s="236"/>
      <c r="F757" s="226"/>
      <c r="G757" s="226"/>
      <c r="H757" s="226"/>
      <c r="I757" s="237"/>
      <c r="J757" s="226"/>
    </row>
    <row r="758" spans="1:10" x14ac:dyDescent="0.35">
      <c r="A758" s="189"/>
      <c r="B758" s="542"/>
      <c r="C758" s="8"/>
      <c r="D758" s="8"/>
      <c r="E758" s="236"/>
      <c r="F758" s="226"/>
      <c r="G758" s="226"/>
      <c r="H758" s="226"/>
      <c r="I758" s="237"/>
      <c r="J758" s="226"/>
    </row>
    <row r="759" spans="1:10" x14ac:dyDescent="0.35">
      <c r="A759" s="189"/>
      <c r="B759" s="542"/>
      <c r="C759" s="8"/>
      <c r="D759" s="8"/>
      <c r="E759" s="236"/>
      <c r="F759" s="226"/>
      <c r="G759" s="226"/>
      <c r="H759" s="226"/>
      <c r="I759" s="237"/>
      <c r="J759" s="226"/>
    </row>
    <row r="760" spans="1:10" x14ac:dyDescent="0.35">
      <c r="A760" s="189"/>
      <c r="B760" s="542"/>
      <c r="C760" s="8"/>
      <c r="D760" s="8"/>
      <c r="E760" s="236"/>
      <c r="F760" s="226"/>
      <c r="G760" s="226"/>
      <c r="H760" s="226"/>
      <c r="I760" s="237"/>
      <c r="J760" s="226"/>
    </row>
    <row r="761" spans="1:10" x14ac:dyDescent="0.35">
      <c r="A761" s="189"/>
      <c r="B761" s="542"/>
      <c r="C761" s="8"/>
      <c r="D761" s="8"/>
      <c r="E761" s="236"/>
      <c r="F761" s="226"/>
      <c r="G761" s="226"/>
      <c r="H761" s="226"/>
      <c r="I761" s="237"/>
      <c r="J761" s="226"/>
    </row>
    <row r="762" spans="1:10" x14ac:dyDescent="0.35">
      <c r="A762" s="189"/>
      <c r="B762" s="542"/>
      <c r="C762" s="8"/>
      <c r="D762" s="8"/>
      <c r="E762" s="236"/>
      <c r="F762" s="226"/>
      <c r="G762" s="226"/>
      <c r="H762" s="226"/>
      <c r="I762" s="237"/>
      <c r="J762" s="226"/>
    </row>
    <row r="763" spans="1:10" x14ac:dyDescent="0.35">
      <c r="A763" s="189"/>
      <c r="B763" s="542"/>
      <c r="C763" s="8"/>
      <c r="D763" s="8"/>
      <c r="E763" s="236"/>
      <c r="F763" s="226"/>
      <c r="G763" s="226"/>
      <c r="H763" s="226"/>
      <c r="I763" s="237"/>
      <c r="J763" s="226"/>
    </row>
    <row r="764" spans="1:10" x14ac:dyDescent="0.35">
      <c r="A764" s="189"/>
      <c r="B764" s="542"/>
      <c r="C764" s="8"/>
      <c r="D764" s="8"/>
      <c r="E764" s="236"/>
      <c r="F764" s="226"/>
      <c r="G764" s="226"/>
      <c r="H764" s="226"/>
      <c r="I764" s="237"/>
      <c r="J764" s="226"/>
    </row>
    <row r="765" spans="1:10" x14ac:dyDescent="0.35">
      <c r="A765" s="189"/>
      <c r="B765" s="542"/>
      <c r="C765" s="8"/>
      <c r="D765" s="8"/>
      <c r="E765" s="236"/>
      <c r="F765" s="226"/>
      <c r="G765" s="226"/>
      <c r="H765" s="226"/>
      <c r="I765" s="237"/>
      <c r="J765" s="226"/>
    </row>
    <row r="766" spans="1:10" x14ac:dyDescent="0.35">
      <c r="A766" s="189"/>
      <c r="B766" s="542"/>
      <c r="C766" s="8"/>
      <c r="D766" s="8"/>
      <c r="E766" s="236"/>
      <c r="F766" s="226"/>
      <c r="G766" s="226"/>
      <c r="H766" s="226"/>
      <c r="I766" s="237"/>
      <c r="J766" s="226"/>
    </row>
    <row r="767" spans="1:10" x14ac:dyDescent="0.35">
      <c r="A767" s="189"/>
      <c r="B767" s="542"/>
      <c r="C767" s="8"/>
      <c r="D767" s="8"/>
      <c r="E767" s="236"/>
      <c r="F767" s="226"/>
      <c r="G767" s="226"/>
      <c r="H767" s="226"/>
      <c r="I767" s="237"/>
      <c r="J767" s="226"/>
    </row>
    <row r="768" spans="1:10" x14ac:dyDescent="0.35">
      <c r="A768" s="189"/>
      <c r="B768" s="542"/>
      <c r="C768" s="8"/>
      <c r="D768" s="8"/>
      <c r="E768" s="236"/>
      <c r="F768" s="226"/>
      <c r="G768" s="226"/>
      <c r="H768" s="226"/>
      <c r="I768" s="237"/>
      <c r="J768" s="226"/>
    </row>
    <row r="769" spans="1:10" x14ac:dyDescent="0.35">
      <c r="A769" s="189"/>
      <c r="B769" s="542"/>
      <c r="C769" s="8"/>
      <c r="D769" s="8"/>
      <c r="E769" s="236"/>
      <c r="F769" s="226"/>
      <c r="G769" s="226"/>
      <c r="H769" s="226"/>
      <c r="I769" s="237"/>
      <c r="J769" s="226"/>
    </row>
    <row r="770" spans="1:10" x14ac:dyDescent="0.35">
      <c r="A770" s="189"/>
      <c r="B770" s="542"/>
      <c r="C770" s="8"/>
      <c r="D770" s="8"/>
      <c r="E770" s="236"/>
      <c r="F770" s="226"/>
      <c r="G770" s="226"/>
      <c r="H770" s="226"/>
      <c r="I770" s="237"/>
      <c r="J770" s="226"/>
    </row>
    <row r="771" spans="1:10" x14ac:dyDescent="0.35">
      <c r="A771" s="189"/>
      <c r="B771" s="542"/>
      <c r="C771" s="8"/>
      <c r="D771" s="8"/>
      <c r="E771" s="236"/>
      <c r="F771" s="226"/>
      <c r="G771" s="226"/>
      <c r="H771" s="226"/>
      <c r="I771" s="237"/>
      <c r="J771" s="226"/>
    </row>
    <row r="772" spans="1:10" x14ac:dyDescent="0.35">
      <c r="A772" s="189"/>
      <c r="B772" s="542"/>
      <c r="C772" s="8"/>
      <c r="D772" s="8"/>
      <c r="E772" s="236"/>
      <c r="F772" s="226"/>
      <c r="G772" s="226"/>
      <c r="H772" s="226"/>
      <c r="I772" s="237"/>
      <c r="J772" s="226"/>
    </row>
    <row r="773" spans="1:10" x14ac:dyDescent="0.35">
      <c r="A773" s="189"/>
      <c r="B773" s="542"/>
      <c r="C773" s="8"/>
      <c r="D773" s="8"/>
      <c r="E773" s="236"/>
      <c r="F773" s="226"/>
      <c r="G773" s="226"/>
      <c r="H773" s="226"/>
      <c r="I773" s="237"/>
      <c r="J773" s="226"/>
    </row>
    <row r="774" spans="1:10" x14ac:dyDescent="0.35">
      <c r="A774" s="189"/>
      <c r="B774" s="541"/>
      <c r="C774" s="8"/>
      <c r="D774" s="8"/>
      <c r="E774" s="236"/>
      <c r="F774" s="226"/>
      <c r="G774" s="226"/>
      <c r="H774" s="226"/>
      <c r="I774" s="237"/>
      <c r="J774" s="226"/>
    </row>
    <row r="775" spans="1:10" x14ac:dyDescent="0.35">
      <c r="A775" s="189"/>
      <c r="B775" s="542"/>
      <c r="C775" s="8"/>
      <c r="D775" s="8"/>
      <c r="E775" s="236"/>
      <c r="F775" s="226"/>
      <c r="G775" s="226"/>
      <c r="H775" s="226"/>
      <c r="I775" s="237"/>
      <c r="J775" s="226"/>
    </row>
    <row r="776" spans="1:10" x14ac:dyDescent="0.35">
      <c r="A776" s="189"/>
      <c r="B776" s="542"/>
      <c r="C776" s="8"/>
      <c r="D776" s="8"/>
      <c r="E776" s="236"/>
      <c r="F776" s="226"/>
      <c r="G776" s="226"/>
      <c r="H776" s="226"/>
      <c r="I776" s="237"/>
      <c r="J776" s="226"/>
    </row>
    <row r="777" spans="1:10" x14ac:dyDescent="0.35">
      <c r="A777" s="189"/>
      <c r="B777" s="542"/>
      <c r="C777" s="8"/>
      <c r="D777" s="8"/>
      <c r="E777" s="236"/>
      <c r="F777" s="226"/>
      <c r="G777" s="226"/>
      <c r="H777" s="226"/>
      <c r="I777" s="237"/>
      <c r="J777" s="226"/>
    </row>
    <row r="778" spans="1:10" x14ac:dyDescent="0.35">
      <c r="A778" s="189"/>
      <c r="B778" s="542"/>
      <c r="C778" s="8"/>
      <c r="D778" s="8"/>
      <c r="E778" s="236"/>
      <c r="F778" s="226"/>
      <c r="G778" s="226"/>
      <c r="H778" s="226"/>
      <c r="I778" s="237"/>
      <c r="J778" s="226"/>
    </row>
    <row r="779" spans="1:10" x14ac:dyDescent="0.35">
      <c r="A779" s="189"/>
      <c r="B779" s="542"/>
      <c r="C779" s="8"/>
      <c r="D779" s="8"/>
      <c r="E779" s="236"/>
      <c r="F779" s="226"/>
      <c r="G779" s="226"/>
      <c r="H779" s="226"/>
      <c r="I779" s="237"/>
      <c r="J779" s="226"/>
    </row>
    <row r="780" spans="1:10" x14ac:dyDescent="0.35">
      <c r="A780" s="189"/>
      <c r="B780" s="542"/>
      <c r="C780" s="8"/>
      <c r="D780" s="8"/>
      <c r="E780" s="236"/>
      <c r="F780" s="226"/>
      <c r="G780" s="226"/>
      <c r="H780" s="226"/>
      <c r="I780" s="237"/>
      <c r="J780" s="226"/>
    </row>
    <row r="781" spans="1:10" x14ac:dyDescent="0.35">
      <c r="A781" s="189"/>
      <c r="B781" s="542"/>
      <c r="C781" s="8"/>
      <c r="D781" s="8"/>
      <c r="E781" s="236"/>
      <c r="F781" s="226"/>
      <c r="G781" s="226"/>
      <c r="H781" s="226"/>
      <c r="I781" s="237"/>
      <c r="J781" s="226"/>
    </row>
    <row r="782" spans="1:10" x14ac:dyDescent="0.35">
      <c r="A782" s="189"/>
      <c r="B782" s="542"/>
      <c r="C782" s="8"/>
      <c r="D782" s="8"/>
      <c r="E782" s="236"/>
      <c r="F782" s="226"/>
      <c r="G782" s="226"/>
      <c r="H782" s="226"/>
      <c r="I782" s="237"/>
      <c r="J782" s="226"/>
    </row>
    <row r="783" spans="1:10" x14ac:dyDescent="0.35">
      <c r="A783" s="189"/>
      <c r="B783" s="542"/>
      <c r="C783" s="8"/>
      <c r="D783" s="8"/>
      <c r="E783" s="236"/>
      <c r="F783" s="226"/>
      <c r="G783" s="226"/>
      <c r="H783" s="226"/>
      <c r="I783" s="237"/>
      <c r="J783" s="226"/>
    </row>
    <row r="784" spans="1:10" x14ac:dyDescent="0.35">
      <c r="A784" s="189"/>
      <c r="B784" s="542"/>
      <c r="C784" s="8"/>
      <c r="D784" s="8"/>
      <c r="E784" s="236"/>
      <c r="F784" s="226"/>
      <c r="G784" s="226"/>
      <c r="H784" s="226"/>
      <c r="I784" s="237"/>
      <c r="J784" s="226"/>
    </row>
    <row r="785" spans="1:10" x14ac:dyDescent="0.35">
      <c r="A785" s="189"/>
      <c r="B785" s="542"/>
      <c r="C785" s="8"/>
      <c r="D785" s="8"/>
      <c r="E785" s="236"/>
      <c r="F785" s="226"/>
      <c r="G785" s="226"/>
      <c r="H785" s="226"/>
      <c r="I785" s="237"/>
      <c r="J785" s="226"/>
    </row>
    <row r="786" spans="1:10" x14ac:dyDescent="0.35">
      <c r="A786" s="189"/>
      <c r="B786" s="542"/>
      <c r="C786" s="8"/>
      <c r="D786" s="8"/>
      <c r="E786" s="236"/>
      <c r="F786" s="226"/>
      <c r="G786" s="226"/>
      <c r="H786" s="226"/>
      <c r="I786" s="237"/>
      <c r="J786" s="226"/>
    </row>
    <row r="787" spans="1:10" x14ac:dyDescent="0.35">
      <c r="A787" s="189"/>
      <c r="B787" s="542"/>
      <c r="C787" s="8"/>
      <c r="D787" s="8"/>
      <c r="E787" s="236"/>
      <c r="F787" s="226"/>
      <c r="G787" s="226"/>
      <c r="H787" s="226"/>
      <c r="I787" s="237"/>
      <c r="J787" s="226"/>
    </row>
    <row r="788" spans="1:10" x14ac:dyDescent="0.35">
      <c r="A788" s="189"/>
      <c r="B788" s="542"/>
      <c r="C788" s="8"/>
      <c r="D788" s="8"/>
      <c r="E788" s="236"/>
      <c r="F788" s="226"/>
      <c r="G788" s="226"/>
      <c r="H788" s="226"/>
      <c r="I788" s="237"/>
      <c r="J788" s="226"/>
    </row>
    <row r="789" spans="1:10" x14ac:dyDescent="0.35">
      <c r="A789" s="189"/>
      <c r="B789" s="542"/>
      <c r="C789" s="8"/>
      <c r="D789" s="8"/>
      <c r="E789" s="236"/>
      <c r="F789" s="226"/>
      <c r="G789" s="226"/>
      <c r="H789" s="226"/>
      <c r="I789" s="237"/>
      <c r="J789" s="226"/>
    </row>
    <row r="790" spans="1:10" x14ac:dyDescent="0.35">
      <c r="A790" s="189"/>
      <c r="B790" s="542"/>
      <c r="C790" s="8"/>
      <c r="D790" s="8"/>
      <c r="E790" s="236"/>
      <c r="F790" s="226"/>
      <c r="G790" s="226"/>
      <c r="H790" s="226"/>
      <c r="I790" s="237"/>
      <c r="J790" s="226"/>
    </row>
    <row r="791" spans="1:10" x14ac:dyDescent="0.35">
      <c r="A791" s="189"/>
      <c r="B791" s="541"/>
      <c r="C791" s="8"/>
      <c r="D791" s="8"/>
      <c r="E791" s="236"/>
      <c r="F791" s="226"/>
      <c r="G791" s="226"/>
      <c r="H791" s="226"/>
      <c r="I791" s="237"/>
      <c r="J791" s="226"/>
    </row>
    <row r="792" spans="1:10" x14ac:dyDescent="0.35">
      <c r="A792" s="189"/>
      <c r="B792" s="542"/>
      <c r="C792" s="8"/>
      <c r="D792" s="8"/>
      <c r="E792" s="236"/>
      <c r="F792" s="226"/>
      <c r="G792" s="226"/>
      <c r="H792" s="226"/>
      <c r="I792" s="237"/>
      <c r="J792" s="226"/>
    </row>
    <row r="793" spans="1:10" x14ac:dyDescent="0.35">
      <c r="A793" s="189"/>
      <c r="B793" s="542"/>
      <c r="C793" s="8"/>
      <c r="D793" s="8"/>
      <c r="E793" s="236"/>
      <c r="F793" s="226"/>
      <c r="G793" s="226"/>
      <c r="H793" s="226"/>
      <c r="I793" s="237"/>
      <c r="J793" s="226"/>
    </row>
    <row r="794" spans="1:10" x14ac:dyDescent="0.35">
      <c r="A794" s="189"/>
      <c r="B794" s="542"/>
      <c r="C794" s="8"/>
      <c r="D794" s="8"/>
      <c r="E794" s="236"/>
      <c r="F794" s="226"/>
      <c r="G794" s="226"/>
      <c r="H794" s="226"/>
      <c r="I794" s="237"/>
      <c r="J794" s="226"/>
    </row>
    <row r="795" spans="1:10" x14ac:dyDescent="0.35">
      <c r="A795" s="189"/>
      <c r="B795" s="542"/>
      <c r="C795" s="8"/>
      <c r="D795" s="8"/>
      <c r="E795" s="236"/>
      <c r="F795" s="226"/>
      <c r="G795" s="226"/>
      <c r="H795" s="226"/>
      <c r="I795" s="237"/>
      <c r="J795" s="226"/>
    </row>
    <row r="796" spans="1:10" x14ac:dyDescent="0.35">
      <c r="A796" s="189"/>
      <c r="B796" s="542"/>
      <c r="C796" s="8"/>
      <c r="D796" s="8"/>
      <c r="E796" s="236"/>
      <c r="F796" s="226"/>
      <c r="G796" s="226"/>
      <c r="H796" s="226"/>
      <c r="I796" s="237"/>
      <c r="J796" s="226"/>
    </row>
    <row r="797" spans="1:10" x14ac:dyDescent="0.35">
      <c r="A797" s="189"/>
      <c r="B797" s="542"/>
      <c r="C797" s="8"/>
      <c r="D797" s="8"/>
      <c r="E797" s="236"/>
      <c r="F797" s="226"/>
      <c r="G797" s="226"/>
      <c r="H797" s="226"/>
      <c r="I797" s="237"/>
      <c r="J797" s="226"/>
    </row>
    <row r="798" spans="1:10" x14ac:dyDescent="0.35">
      <c r="A798" s="189"/>
      <c r="B798" s="542"/>
      <c r="C798" s="8"/>
      <c r="D798" s="8"/>
      <c r="E798" s="236"/>
      <c r="F798" s="226"/>
      <c r="G798" s="226"/>
      <c r="H798" s="226"/>
      <c r="I798" s="237"/>
      <c r="J798" s="226"/>
    </row>
    <row r="799" spans="1:10" x14ac:dyDescent="0.35">
      <c r="A799" s="189"/>
      <c r="B799" s="542"/>
      <c r="C799" s="8"/>
      <c r="D799" s="8"/>
      <c r="E799" s="236"/>
      <c r="F799" s="226"/>
      <c r="G799" s="226"/>
      <c r="H799" s="226"/>
      <c r="I799" s="237"/>
      <c r="J799" s="226"/>
    </row>
    <row r="800" spans="1:10" x14ac:dyDescent="0.35">
      <c r="A800" s="189"/>
      <c r="B800" s="542"/>
      <c r="C800" s="8"/>
      <c r="D800" s="8"/>
      <c r="E800" s="236"/>
      <c r="F800" s="226"/>
      <c r="G800" s="226"/>
      <c r="H800" s="226"/>
      <c r="I800" s="237"/>
      <c r="J800" s="226"/>
    </row>
    <row r="801" spans="1:10" x14ac:dyDescent="0.35">
      <c r="A801" s="189"/>
      <c r="B801" s="542"/>
      <c r="C801" s="8"/>
      <c r="D801" s="8"/>
      <c r="E801" s="236"/>
      <c r="F801" s="226"/>
      <c r="G801" s="226"/>
      <c r="H801" s="226"/>
      <c r="I801" s="237"/>
      <c r="J801" s="226"/>
    </row>
    <row r="802" spans="1:10" x14ac:dyDescent="0.35">
      <c r="A802" s="189"/>
      <c r="B802" s="542"/>
      <c r="C802" s="8"/>
      <c r="D802" s="8"/>
      <c r="E802" s="236"/>
      <c r="F802" s="226"/>
      <c r="G802" s="226"/>
      <c r="H802" s="226"/>
      <c r="I802" s="237"/>
      <c r="J802" s="226"/>
    </row>
    <row r="803" spans="1:10" x14ac:dyDescent="0.35">
      <c r="A803" s="189"/>
      <c r="B803" s="542"/>
      <c r="C803" s="8"/>
      <c r="D803" s="8"/>
      <c r="E803" s="236"/>
      <c r="F803" s="226"/>
      <c r="G803" s="226"/>
      <c r="H803" s="226"/>
      <c r="I803" s="237"/>
      <c r="J803" s="226"/>
    </row>
    <row r="804" spans="1:10" x14ac:dyDescent="0.35">
      <c r="A804" s="189"/>
      <c r="B804" s="542"/>
      <c r="C804" s="8"/>
      <c r="D804" s="8"/>
      <c r="E804" s="236"/>
      <c r="F804" s="226"/>
      <c r="G804" s="226"/>
      <c r="H804" s="226"/>
      <c r="I804" s="237"/>
      <c r="J804" s="226"/>
    </row>
    <row r="805" spans="1:10" x14ac:dyDescent="0.35">
      <c r="A805" s="189"/>
      <c r="B805" s="542"/>
      <c r="C805" s="8"/>
      <c r="D805" s="8"/>
      <c r="E805" s="236"/>
      <c r="F805" s="226"/>
      <c r="G805" s="226"/>
      <c r="H805" s="226"/>
      <c r="I805" s="237"/>
      <c r="J805" s="226"/>
    </row>
    <row r="806" spans="1:10" x14ac:dyDescent="0.35">
      <c r="A806" s="189"/>
      <c r="B806" s="542"/>
      <c r="C806" s="8"/>
      <c r="D806" s="8"/>
      <c r="E806" s="236"/>
      <c r="F806" s="226"/>
      <c r="G806" s="226"/>
      <c r="H806" s="226"/>
      <c r="I806" s="237"/>
      <c r="J806" s="226"/>
    </row>
    <row r="807" spans="1:10" x14ac:dyDescent="0.35">
      <c r="A807" s="189"/>
      <c r="B807" s="542"/>
      <c r="C807" s="8"/>
      <c r="D807" s="8"/>
      <c r="E807" s="236"/>
      <c r="F807" s="226"/>
      <c r="G807" s="226"/>
      <c r="H807" s="226"/>
      <c r="I807" s="237"/>
      <c r="J807" s="226"/>
    </row>
    <row r="808" spans="1:10" x14ac:dyDescent="0.35">
      <c r="A808" s="189"/>
      <c r="B808" s="541"/>
      <c r="C808" s="8"/>
      <c r="D808" s="8"/>
      <c r="E808" s="236"/>
      <c r="F808" s="226"/>
      <c r="G808" s="226"/>
      <c r="H808" s="226"/>
      <c r="I808" s="237"/>
      <c r="J808" s="226"/>
    </row>
    <row r="809" spans="1:10" x14ac:dyDescent="0.35">
      <c r="A809" s="189"/>
      <c r="B809" s="542"/>
      <c r="C809" s="8"/>
      <c r="D809" s="8"/>
      <c r="E809" s="236"/>
      <c r="F809" s="226"/>
      <c r="G809" s="226"/>
      <c r="H809" s="226"/>
      <c r="I809" s="237"/>
      <c r="J809" s="226"/>
    </row>
    <row r="810" spans="1:10" x14ac:dyDescent="0.35">
      <c r="A810" s="189"/>
      <c r="B810" s="542"/>
      <c r="C810" s="8"/>
      <c r="D810" s="8"/>
      <c r="E810" s="236"/>
      <c r="F810" s="226"/>
      <c r="G810" s="226"/>
      <c r="H810" s="226"/>
      <c r="I810" s="237"/>
      <c r="J810" s="226"/>
    </row>
    <row r="811" spans="1:10" x14ac:dyDescent="0.35">
      <c r="A811" s="189"/>
      <c r="B811" s="542"/>
      <c r="C811" s="8"/>
      <c r="D811" s="8"/>
      <c r="E811" s="236"/>
      <c r="F811" s="226"/>
      <c r="G811" s="226"/>
      <c r="H811" s="226"/>
      <c r="I811" s="237"/>
      <c r="J811" s="226"/>
    </row>
    <row r="812" spans="1:10" x14ac:dyDescent="0.35">
      <c r="A812" s="189"/>
      <c r="B812" s="542"/>
      <c r="C812" s="8"/>
      <c r="D812" s="8"/>
      <c r="E812" s="236"/>
      <c r="F812" s="226"/>
      <c r="G812" s="226"/>
      <c r="H812" s="226"/>
      <c r="I812" s="237"/>
      <c r="J812" s="226"/>
    </row>
    <row r="813" spans="1:10" x14ac:dyDescent="0.35">
      <c r="A813" s="189"/>
      <c r="B813" s="542"/>
      <c r="C813" s="8"/>
      <c r="D813" s="8"/>
      <c r="E813" s="236"/>
      <c r="F813" s="226"/>
      <c r="G813" s="226"/>
      <c r="H813" s="226"/>
      <c r="I813" s="237"/>
      <c r="J813" s="226"/>
    </row>
    <row r="814" spans="1:10" x14ac:dyDescent="0.35">
      <c r="A814" s="189"/>
      <c r="B814" s="542"/>
      <c r="C814" s="8"/>
      <c r="D814" s="8"/>
      <c r="E814" s="236"/>
      <c r="F814" s="226"/>
      <c r="G814" s="226"/>
      <c r="H814" s="226"/>
      <c r="I814" s="237"/>
      <c r="J814" s="226"/>
    </row>
    <row r="815" spans="1:10" x14ac:dyDescent="0.35">
      <c r="A815" s="189"/>
      <c r="B815" s="542"/>
      <c r="C815" s="8"/>
      <c r="D815" s="8"/>
      <c r="E815" s="236"/>
      <c r="F815" s="226"/>
      <c r="G815" s="226"/>
      <c r="H815" s="226"/>
      <c r="I815" s="237"/>
      <c r="J815" s="226"/>
    </row>
    <row r="816" spans="1:10" x14ac:dyDescent="0.35">
      <c r="A816" s="189"/>
      <c r="B816" s="542"/>
      <c r="C816" s="8"/>
      <c r="D816" s="8"/>
      <c r="E816" s="236"/>
      <c r="F816" s="226"/>
      <c r="G816" s="226"/>
      <c r="H816" s="226"/>
      <c r="I816" s="237"/>
      <c r="J816" s="226"/>
    </row>
    <row r="817" spans="1:10" x14ac:dyDescent="0.35">
      <c r="A817" s="189"/>
      <c r="B817" s="542"/>
      <c r="C817" s="8"/>
      <c r="D817" s="8"/>
      <c r="E817" s="236"/>
      <c r="F817" s="226"/>
      <c r="G817" s="226"/>
      <c r="H817" s="226"/>
      <c r="I817" s="237"/>
      <c r="J817" s="226"/>
    </row>
    <row r="818" spans="1:10" x14ac:dyDescent="0.35">
      <c r="A818" s="189"/>
      <c r="B818" s="542"/>
      <c r="C818" s="8"/>
      <c r="D818" s="8"/>
      <c r="E818" s="236"/>
      <c r="F818" s="226"/>
      <c r="G818" s="226"/>
      <c r="H818" s="226"/>
      <c r="I818" s="237"/>
      <c r="J818" s="226"/>
    </row>
    <row r="819" spans="1:10" x14ac:dyDescent="0.35">
      <c r="A819" s="189"/>
      <c r="B819" s="542"/>
      <c r="C819" s="8"/>
      <c r="D819" s="8"/>
      <c r="E819" s="236"/>
      <c r="F819" s="226"/>
      <c r="G819" s="226"/>
      <c r="H819" s="226"/>
      <c r="I819" s="237"/>
      <c r="J819" s="226"/>
    </row>
    <row r="820" spans="1:10" x14ac:dyDescent="0.35">
      <c r="A820" s="189"/>
      <c r="B820" s="542"/>
      <c r="C820" s="8"/>
      <c r="D820" s="8"/>
      <c r="E820" s="236"/>
      <c r="F820" s="226"/>
      <c r="G820" s="226"/>
      <c r="H820" s="226"/>
      <c r="I820" s="237"/>
      <c r="J820" s="226"/>
    </row>
    <row r="821" spans="1:10" x14ac:dyDescent="0.35">
      <c r="A821" s="189"/>
      <c r="B821" s="542"/>
      <c r="C821" s="8"/>
      <c r="D821" s="8"/>
      <c r="E821" s="236"/>
      <c r="F821" s="226"/>
      <c r="G821" s="226"/>
      <c r="H821" s="226"/>
      <c r="I821" s="237"/>
      <c r="J821" s="226"/>
    </row>
    <row r="822" spans="1:10" x14ac:dyDescent="0.35">
      <c r="A822" s="189"/>
      <c r="B822" s="542"/>
      <c r="C822" s="8"/>
      <c r="D822" s="8"/>
      <c r="E822" s="236"/>
      <c r="F822" s="226"/>
      <c r="G822" s="226"/>
      <c r="H822" s="226"/>
      <c r="I822" s="237"/>
      <c r="J822" s="226"/>
    </row>
    <row r="823" spans="1:10" x14ac:dyDescent="0.35">
      <c r="A823" s="189"/>
      <c r="B823" s="542"/>
      <c r="C823" s="8"/>
      <c r="D823" s="8"/>
      <c r="E823" s="236"/>
      <c r="F823" s="226"/>
      <c r="G823" s="226"/>
      <c r="H823" s="226"/>
      <c r="I823" s="237"/>
      <c r="J823" s="226"/>
    </row>
    <row r="824" spans="1:10" x14ac:dyDescent="0.35">
      <c r="A824" s="225"/>
      <c r="B824" s="545"/>
      <c r="C824" s="8"/>
      <c r="D824" s="8"/>
      <c r="E824" s="241"/>
      <c r="F824" s="227"/>
      <c r="G824" s="227"/>
      <c r="H824" s="227"/>
      <c r="I824" s="242"/>
      <c r="J824" s="226"/>
    </row>
    <row r="825" spans="1:10" x14ac:dyDescent="0.35">
      <c r="A825" s="189"/>
      <c r="B825" s="541"/>
      <c r="C825" s="8"/>
      <c r="D825" s="8"/>
      <c r="E825" s="236"/>
      <c r="F825" s="226"/>
      <c r="G825" s="226"/>
      <c r="H825" s="226"/>
      <c r="I825" s="237"/>
      <c r="J825" s="226"/>
    </row>
    <row r="826" spans="1:10" x14ac:dyDescent="0.35">
      <c r="A826" s="189"/>
      <c r="B826" s="542"/>
      <c r="C826" s="8"/>
      <c r="D826" s="8"/>
      <c r="E826" s="236"/>
      <c r="F826" s="226"/>
      <c r="G826" s="226"/>
      <c r="H826" s="226"/>
      <c r="I826" s="237"/>
      <c r="J826" s="226"/>
    </row>
    <row r="827" spans="1:10" x14ac:dyDescent="0.35">
      <c r="A827" s="189"/>
      <c r="B827" s="542"/>
      <c r="C827" s="8"/>
      <c r="D827" s="8"/>
      <c r="E827" s="236"/>
      <c r="F827" s="226"/>
      <c r="G827" s="226"/>
      <c r="H827" s="226"/>
      <c r="I827" s="237"/>
      <c r="J827" s="226"/>
    </row>
    <row r="828" spans="1:10" x14ac:dyDescent="0.35">
      <c r="A828" s="189"/>
      <c r="B828" s="542"/>
      <c r="C828" s="8"/>
      <c r="D828" s="8"/>
      <c r="E828" s="236"/>
      <c r="F828" s="226"/>
      <c r="G828" s="226"/>
      <c r="H828" s="226"/>
      <c r="I828" s="237"/>
      <c r="J828" s="226"/>
    </row>
    <row r="829" spans="1:10" x14ac:dyDescent="0.35">
      <c r="A829" s="189"/>
      <c r="B829" s="542"/>
      <c r="C829" s="8"/>
      <c r="D829" s="8"/>
      <c r="E829" s="236"/>
      <c r="F829" s="226"/>
      <c r="G829" s="226"/>
      <c r="H829" s="226"/>
      <c r="I829" s="237"/>
      <c r="J829" s="226"/>
    </row>
    <row r="830" spans="1:10" x14ac:dyDescent="0.35">
      <c r="A830" s="189"/>
      <c r="B830" s="542"/>
      <c r="C830" s="8"/>
      <c r="D830" s="8"/>
      <c r="E830" s="236"/>
      <c r="F830" s="226"/>
      <c r="G830" s="226"/>
      <c r="H830" s="226"/>
      <c r="I830" s="237"/>
      <c r="J830" s="226"/>
    </row>
    <row r="831" spans="1:10" x14ac:dyDescent="0.35">
      <c r="A831" s="189"/>
      <c r="B831" s="542"/>
      <c r="C831" s="8"/>
      <c r="D831" s="8"/>
      <c r="E831" s="236"/>
      <c r="F831" s="226"/>
      <c r="G831" s="226"/>
      <c r="H831" s="226"/>
      <c r="I831" s="237"/>
      <c r="J831" s="226"/>
    </row>
    <row r="832" spans="1:10" x14ac:dyDescent="0.35">
      <c r="A832" s="189"/>
      <c r="B832" s="542"/>
      <c r="C832" s="8"/>
      <c r="D832" s="8"/>
      <c r="E832" s="236"/>
      <c r="F832" s="226"/>
      <c r="G832" s="226"/>
      <c r="H832" s="226"/>
      <c r="I832" s="237"/>
      <c r="J832" s="226"/>
    </row>
    <row r="833" spans="1:10" x14ac:dyDescent="0.35">
      <c r="A833" s="189"/>
      <c r="B833" s="542"/>
      <c r="C833" s="8"/>
      <c r="D833" s="8"/>
      <c r="E833" s="236"/>
      <c r="F833" s="226"/>
      <c r="G833" s="226"/>
      <c r="H833" s="226"/>
      <c r="I833" s="237"/>
      <c r="J833" s="226"/>
    </row>
    <row r="834" spans="1:10" x14ac:dyDescent="0.35">
      <c r="A834" s="189"/>
      <c r="B834" s="542"/>
      <c r="C834" s="8"/>
      <c r="D834" s="8"/>
      <c r="E834" s="236"/>
      <c r="F834" s="226"/>
      <c r="G834" s="226"/>
      <c r="H834" s="226"/>
      <c r="I834" s="237"/>
      <c r="J834" s="226"/>
    </row>
    <row r="835" spans="1:10" x14ac:dyDescent="0.35">
      <c r="A835" s="189"/>
      <c r="B835" s="542"/>
      <c r="C835" s="8"/>
      <c r="D835" s="8"/>
      <c r="E835" s="236"/>
      <c r="F835" s="226"/>
      <c r="G835" s="226"/>
      <c r="H835" s="226"/>
      <c r="I835" s="237"/>
      <c r="J835" s="226"/>
    </row>
    <row r="836" spans="1:10" x14ac:dyDescent="0.35">
      <c r="A836" s="189"/>
      <c r="B836" s="542"/>
      <c r="C836" s="8"/>
      <c r="D836" s="8"/>
      <c r="E836" s="236"/>
      <c r="F836" s="226"/>
      <c r="G836" s="226"/>
      <c r="H836" s="226"/>
      <c r="I836" s="237"/>
      <c r="J836" s="226"/>
    </row>
    <row r="837" spans="1:10" x14ac:dyDescent="0.35">
      <c r="A837" s="189"/>
      <c r="B837" s="542"/>
      <c r="C837" s="8"/>
      <c r="D837" s="8"/>
      <c r="E837" s="236"/>
      <c r="F837" s="226"/>
      <c r="G837" s="226"/>
      <c r="H837" s="226"/>
      <c r="I837" s="237"/>
      <c r="J837" s="226"/>
    </row>
    <row r="838" spans="1:10" x14ac:dyDescent="0.35">
      <c r="A838" s="189"/>
      <c r="B838" s="542"/>
      <c r="C838" s="8"/>
      <c r="D838" s="8"/>
      <c r="E838" s="236"/>
      <c r="F838" s="226"/>
      <c r="G838" s="226"/>
      <c r="H838" s="226"/>
      <c r="I838" s="237"/>
      <c r="J838" s="226"/>
    </row>
    <row r="839" spans="1:10" x14ac:dyDescent="0.35">
      <c r="A839" s="189"/>
      <c r="B839" s="542"/>
      <c r="C839" s="8"/>
      <c r="D839" s="8"/>
      <c r="E839" s="236"/>
      <c r="F839" s="226"/>
      <c r="G839" s="226"/>
      <c r="H839" s="226"/>
      <c r="I839" s="237"/>
      <c r="J839" s="226"/>
    </row>
    <row r="840" spans="1:10" x14ac:dyDescent="0.35">
      <c r="A840" s="189"/>
      <c r="B840" s="542"/>
      <c r="C840" s="8"/>
      <c r="D840" s="8"/>
      <c r="E840" s="236"/>
      <c r="F840" s="226"/>
      <c r="G840" s="226"/>
      <c r="H840" s="226"/>
      <c r="I840" s="237"/>
      <c r="J840" s="226"/>
    </row>
    <row r="841" spans="1:10" x14ac:dyDescent="0.35">
      <c r="A841" s="225"/>
      <c r="B841" s="545"/>
      <c r="C841" s="8"/>
      <c r="D841" s="8"/>
      <c r="E841" s="241"/>
      <c r="F841" s="227"/>
      <c r="G841" s="227"/>
      <c r="H841" s="227"/>
      <c r="I841" s="242"/>
      <c r="J841" s="226"/>
    </row>
    <row r="842" spans="1:10" x14ac:dyDescent="0.35">
      <c r="A842" s="189"/>
      <c r="B842" s="541"/>
      <c r="C842" s="8"/>
      <c r="D842" s="8"/>
      <c r="E842" s="236"/>
      <c r="F842" s="226"/>
      <c r="G842" s="226"/>
      <c r="H842" s="226"/>
      <c r="I842" s="237"/>
      <c r="J842" s="226"/>
    </row>
    <row r="843" spans="1:10" x14ac:dyDescent="0.35">
      <c r="A843" s="189"/>
      <c r="B843" s="542"/>
      <c r="C843" s="8"/>
      <c r="D843" s="8"/>
      <c r="E843" s="236"/>
      <c r="F843" s="226"/>
      <c r="G843" s="226"/>
      <c r="H843" s="226"/>
      <c r="I843" s="237"/>
      <c r="J843" s="226"/>
    </row>
    <row r="844" spans="1:10" x14ac:dyDescent="0.35">
      <c r="A844" s="189"/>
      <c r="B844" s="542"/>
      <c r="C844" s="8"/>
      <c r="D844" s="8"/>
      <c r="E844" s="236"/>
      <c r="F844" s="226"/>
      <c r="G844" s="226"/>
      <c r="H844" s="226"/>
      <c r="I844" s="237"/>
      <c r="J844" s="226"/>
    </row>
    <row r="845" spans="1:10" x14ac:dyDescent="0.35">
      <c r="A845" s="189"/>
      <c r="B845" s="542"/>
      <c r="C845" s="8"/>
      <c r="D845" s="8"/>
      <c r="E845" s="236"/>
      <c r="F845" s="226"/>
      <c r="G845" s="226"/>
      <c r="H845" s="226"/>
      <c r="I845" s="237"/>
      <c r="J845" s="226"/>
    </row>
    <row r="846" spans="1:10" x14ac:dyDescent="0.35">
      <c r="A846" s="189"/>
      <c r="B846" s="542"/>
      <c r="C846" s="8"/>
      <c r="D846" s="8"/>
      <c r="E846" s="236"/>
      <c r="F846" s="226"/>
      <c r="G846" s="226"/>
      <c r="H846" s="226"/>
      <c r="I846" s="237"/>
      <c r="J846" s="226"/>
    </row>
    <row r="847" spans="1:10" x14ac:dyDescent="0.35">
      <c r="A847" s="189"/>
      <c r="B847" s="542"/>
      <c r="C847" s="8"/>
      <c r="D847" s="8"/>
      <c r="E847" s="236"/>
      <c r="F847" s="226"/>
      <c r="G847" s="226"/>
      <c r="H847" s="226"/>
      <c r="I847" s="237"/>
      <c r="J847" s="226"/>
    </row>
    <row r="848" spans="1:10" x14ac:dyDescent="0.35">
      <c r="A848" s="189"/>
      <c r="B848" s="542"/>
      <c r="C848" s="8"/>
      <c r="D848" s="8"/>
      <c r="E848" s="236"/>
      <c r="F848" s="226"/>
      <c r="G848" s="226"/>
      <c r="H848" s="226"/>
      <c r="I848" s="237"/>
      <c r="J848" s="226"/>
    </row>
    <row r="849" spans="1:10" x14ac:dyDescent="0.35">
      <c r="A849" s="189"/>
      <c r="B849" s="542"/>
      <c r="C849" s="8"/>
      <c r="D849" s="8"/>
      <c r="E849" s="236"/>
      <c r="F849" s="226"/>
      <c r="G849" s="226"/>
      <c r="H849" s="226"/>
      <c r="I849" s="237"/>
      <c r="J849" s="226"/>
    </row>
    <row r="850" spans="1:10" x14ac:dyDescent="0.35">
      <c r="A850" s="189"/>
      <c r="B850" s="542"/>
      <c r="C850" s="8"/>
      <c r="D850" s="8"/>
      <c r="E850" s="236"/>
      <c r="F850" s="226"/>
      <c r="G850" s="226"/>
      <c r="H850" s="226"/>
      <c r="I850" s="237"/>
      <c r="J850" s="226"/>
    </row>
    <row r="851" spans="1:10" x14ac:dyDescent="0.35">
      <c r="A851" s="189"/>
      <c r="B851" s="542"/>
      <c r="C851" s="8"/>
      <c r="D851" s="8"/>
      <c r="E851" s="236"/>
      <c r="F851" s="226"/>
      <c r="G851" s="226"/>
      <c r="H851" s="226"/>
      <c r="I851" s="237"/>
      <c r="J851" s="226"/>
    </row>
    <row r="852" spans="1:10" x14ac:dyDescent="0.35">
      <c r="A852" s="189"/>
      <c r="B852" s="542"/>
      <c r="C852" s="8"/>
      <c r="D852" s="8"/>
      <c r="E852" s="236"/>
      <c r="F852" s="226"/>
      <c r="G852" s="226"/>
      <c r="H852" s="226"/>
      <c r="I852" s="237"/>
      <c r="J852" s="226"/>
    </row>
    <row r="853" spans="1:10" x14ac:dyDescent="0.35">
      <c r="A853" s="189"/>
      <c r="B853" s="542"/>
      <c r="C853" s="8"/>
      <c r="D853" s="8"/>
      <c r="E853" s="236"/>
      <c r="F853" s="226"/>
      <c r="G853" s="226"/>
      <c r="H853" s="226"/>
      <c r="I853" s="237"/>
      <c r="J853" s="226"/>
    </row>
    <row r="854" spans="1:10" x14ac:dyDescent="0.35">
      <c r="A854" s="189"/>
      <c r="B854" s="542"/>
      <c r="C854" s="8"/>
      <c r="D854" s="8"/>
      <c r="E854" s="236"/>
      <c r="F854" s="226"/>
      <c r="G854" s="226"/>
      <c r="H854" s="226"/>
      <c r="I854" s="237"/>
      <c r="J854" s="226"/>
    </row>
    <row r="855" spans="1:10" x14ac:dyDescent="0.35">
      <c r="A855" s="189"/>
      <c r="B855" s="542"/>
      <c r="C855" s="8"/>
      <c r="D855" s="8"/>
      <c r="E855" s="236"/>
      <c r="F855" s="226"/>
      <c r="G855" s="226"/>
      <c r="H855" s="226"/>
      <c r="I855" s="237"/>
      <c r="J855" s="226"/>
    </row>
    <row r="856" spans="1:10" x14ac:dyDescent="0.35">
      <c r="A856" s="189"/>
      <c r="B856" s="542"/>
      <c r="C856" s="8"/>
      <c r="D856" s="8"/>
      <c r="E856" s="236"/>
      <c r="F856" s="226"/>
      <c r="G856" s="226"/>
      <c r="H856" s="226"/>
      <c r="I856" s="237"/>
      <c r="J856" s="226"/>
    </row>
    <row r="857" spans="1:10" x14ac:dyDescent="0.35">
      <c r="A857" s="189"/>
      <c r="B857" s="542"/>
      <c r="C857" s="8"/>
      <c r="D857" s="8"/>
      <c r="E857" s="236"/>
      <c r="F857" s="226"/>
      <c r="G857" s="226"/>
      <c r="H857" s="226"/>
      <c r="I857" s="237"/>
      <c r="J857" s="226"/>
    </row>
    <row r="858" spans="1:10" x14ac:dyDescent="0.35">
      <c r="A858" s="225"/>
      <c r="B858" s="545"/>
      <c r="C858" s="8"/>
      <c r="D858" s="8"/>
      <c r="E858" s="241"/>
      <c r="F858" s="227"/>
      <c r="G858" s="227"/>
      <c r="H858" s="227"/>
      <c r="I858" s="242"/>
      <c r="J858" s="226"/>
    </row>
    <row r="859" spans="1:10" x14ac:dyDescent="0.35">
      <c r="A859" s="189"/>
      <c r="B859" s="541"/>
      <c r="C859" s="8"/>
      <c r="D859" s="8"/>
      <c r="E859" s="236"/>
      <c r="F859" s="226"/>
      <c r="G859" s="226"/>
      <c r="H859" s="226"/>
      <c r="I859" s="237"/>
      <c r="J859" s="226"/>
    </row>
    <row r="860" spans="1:10" x14ac:dyDescent="0.35">
      <c r="A860" s="189"/>
      <c r="B860" s="542"/>
      <c r="C860" s="8"/>
      <c r="D860" s="8"/>
      <c r="E860" s="236"/>
      <c r="F860" s="226"/>
      <c r="G860" s="226"/>
      <c r="H860" s="226"/>
      <c r="I860" s="237"/>
      <c r="J860" s="226"/>
    </row>
    <row r="861" spans="1:10" x14ac:dyDescent="0.35">
      <c r="A861" s="189"/>
      <c r="B861" s="542"/>
      <c r="C861" s="8"/>
      <c r="D861" s="8"/>
      <c r="E861" s="236"/>
      <c r="F861" s="226"/>
      <c r="G861" s="226"/>
      <c r="H861" s="226"/>
      <c r="I861" s="237"/>
      <c r="J861" s="226"/>
    </row>
    <row r="862" spans="1:10" x14ac:dyDescent="0.35">
      <c r="A862" s="189"/>
      <c r="B862" s="542"/>
      <c r="C862" s="8"/>
      <c r="D862" s="8"/>
      <c r="E862" s="236"/>
      <c r="F862" s="226"/>
      <c r="G862" s="226"/>
      <c r="H862" s="226"/>
      <c r="I862" s="237"/>
      <c r="J862" s="226"/>
    </row>
    <row r="863" spans="1:10" x14ac:dyDescent="0.35">
      <c r="A863" s="189"/>
      <c r="B863" s="542"/>
      <c r="C863" s="8"/>
      <c r="D863" s="8"/>
      <c r="E863" s="236"/>
      <c r="F863" s="226"/>
      <c r="G863" s="226"/>
      <c r="H863" s="226"/>
      <c r="I863" s="237"/>
      <c r="J863" s="226"/>
    </row>
    <row r="864" spans="1:10" x14ac:dyDescent="0.35">
      <c r="A864" s="189"/>
      <c r="B864" s="542"/>
      <c r="C864" s="8"/>
      <c r="D864" s="8"/>
      <c r="E864" s="236"/>
      <c r="F864" s="226"/>
      <c r="G864" s="226"/>
      <c r="H864" s="226"/>
      <c r="I864" s="237"/>
      <c r="J864" s="226"/>
    </row>
    <row r="865" spans="1:10" x14ac:dyDescent="0.35">
      <c r="A865" s="189"/>
      <c r="B865" s="542"/>
      <c r="C865" s="8"/>
      <c r="D865" s="8"/>
      <c r="E865" s="236"/>
      <c r="F865" s="226"/>
      <c r="G865" s="226"/>
      <c r="H865" s="226"/>
      <c r="I865" s="237"/>
      <c r="J865" s="226"/>
    </row>
    <row r="866" spans="1:10" x14ac:dyDescent="0.35">
      <c r="A866" s="189"/>
      <c r="B866" s="542"/>
      <c r="C866" s="8"/>
      <c r="D866" s="8"/>
      <c r="E866" s="236"/>
      <c r="F866" s="226"/>
      <c r="G866" s="226"/>
      <c r="H866" s="226"/>
      <c r="I866" s="237"/>
      <c r="J866" s="226"/>
    </row>
    <row r="867" spans="1:10" x14ac:dyDescent="0.35">
      <c r="A867" s="189"/>
      <c r="B867" s="542"/>
      <c r="C867" s="8"/>
      <c r="D867" s="8"/>
      <c r="E867" s="236"/>
      <c r="F867" s="226"/>
      <c r="G867" s="226"/>
      <c r="H867" s="226"/>
      <c r="I867" s="237"/>
      <c r="J867" s="226"/>
    </row>
    <row r="868" spans="1:10" x14ac:dyDescent="0.35">
      <c r="A868" s="189"/>
      <c r="B868" s="542"/>
      <c r="C868" s="8"/>
      <c r="D868" s="8"/>
      <c r="E868" s="236"/>
      <c r="F868" s="226"/>
      <c r="G868" s="226"/>
      <c r="H868" s="226"/>
      <c r="I868" s="237"/>
      <c r="J868" s="226"/>
    </row>
    <row r="869" spans="1:10" x14ac:dyDescent="0.35">
      <c r="A869" s="189"/>
      <c r="B869" s="542"/>
      <c r="C869" s="8"/>
      <c r="D869" s="8"/>
      <c r="E869" s="236"/>
      <c r="F869" s="226"/>
      <c r="G869" s="226"/>
      <c r="H869" s="226"/>
      <c r="I869" s="237"/>
      <c r="J869" s="226"/>
    </row>
    <row r="870" spans="1:10" x14ac:dyDescent="0.35">
      <c r="A870" s="189"/>
      <c r="B870" s="542"/>
      <c r="C870" s="8"/>
      <c r="D870" s="8"/>
      <c r="E870" s="236"/>
      <c r="F870" s="226"/>
      <c r="G870" s="226"/>
      <c r="H870" s="226"/>
      <c r="I870" s="237"/>
      <c r="J870" s="226"/>
    </row>
    <row r="871" spans="1:10" x14ac:dyDescent="0.35">
      <c r="A871" s="189"/>
      <c r="B871" s="542"/>
      <c r="C871" s="8"/>
      <c r="D871" s="8"/>
      <c r="E871" s="236"/>
      <c r="F871" s="226"/>
      <c r="G871" s="226"/>
      <c r="H871" s="226"/>
      <c r="I871" s="237"/>
      <c r="J871" s="226"/>
    </row>
    <row r="872" spans="1:10" x14ac:dyDescent="0.35">
      <c r="A872" s="189"/>
      <c r="B872" s="542"/>
      <c r="C872" s="8"/>
      <c r="D872" s="8"/>
      <c r="E872" s="236"/>
      <c r="F872" s="226"/>
      <c r="G872" s="226"/>
      <c r="H872" s="226"/>
      <c r="I872" s="237"/>
      <c r="J872" s="226"/>
    </row>
    <row r="873" spans="1:10" x14ac:dyDescent="0.35">
      <c r="A873" s="189"/>
      <c r="B873" s="542"/>
      <c r="C873" s="8"/>
      <c r="D873" s="8"/>
      <c r="E873" s="236"/>
      <c r="F873" s="226"/>
      <c r="G873" s="226"/>
      <c r="H873" s="226"/>
      <c r="I873" s="237"/>
      <c r="J873" s="226"/>
    </row>
    <row r="874" spans="1:10" x14ac:dyDescent="0.35">
      <c r="A874" s="189"/>
      <c r="B874" s="542"/>
      <c r="C874" s="8"/>
      <c r="D874" s="8"/>
      <c r="E874" s="236"/>
      <c r="F874" s="226"/>
      <c r="G874" s="226"/>
      <c r="H874" s="226"/>
      <c r="I874" s="237"/>
      <c r="J874" s="226"/>
    </row>
    <row r="875" spans="1:10" x14ac:dyDescent="0.35">
      <c r="A875" s="225"/>
      <c r="B875" s="545"/>
      <c r="C875" s="8"/>
      <c r="D875" s="8"/>
      <c r="E875" s="241"/>
      <c r="F875" s="227"/>
      <c r="G875" s="227"/>
      <c r="H875" s="227"/>
      <c r="I875" s="242"/>
      <c r="J875" s="226"/>
    </row>
    <row r="876" spans="1:10" x14ac:dyDescent="0.35">
      <c r="A876" s="189"/>
      <c r="B876" s="541"/>
      <c r="C876" s="8"/>
      <c r="D876" s="8"/>
      <c r="E876" s="236"/>
      <c r="F876" s="226"/>
      <c r="G876" s="226"/>
      <c r="H876" s="226"/>
      <c r="I876" s="237"/>
      <c r="J876" s="226"/>
    </row>
    <row r="877" spans="1:10" x14ac:dyDescent="0.35">
      <c r="A877" s="189"/>
      <c r="B877" s="542"/>
      <c r="C877" s="8"/>
      <c r="D877" s="8"/>
      <c r="E877" s="236"/>
      <c r="F877" s="226"/>
      <c r="G877" s="226"/>
      <c r="H877" s="226"/>
      <c r="I877" s="237"/>
      <c r="J877" s="226"/>
    </row>
    <row r="878" spans="1:10" x14ac:dyDescent="0.35">
      <c r="A878" s="189"/>
      <c r="B878" s="542"/>
      <c r="C878" s="8"/>
      <c r="D878" s="8"/>
      <c r="E878" s="236"/>
      <c r="F878" s="226"/>
      <c r="G878" s="226"/>
      <c r="H878" s="226"/>
      <c r="I878" s="237"/>
      <c r="J878" s="226"/>
    </row>
    <row r="879" spans="1:10" x14ac:dyDescent="0.35">
      <c r="A879" s="189"/>
      <c r="B879" s="542"/>
      <c r="C879" s="8"/>
      <c r="D879" s="8"/>
      <c r="E879" s="236"/>
      <c r="F879" s="226"/>
      <c r="G879" s="226"/>
      <c r="H879" s="226"/>
      <c r="I879" s="237"/>
      <c r="J879" s="226"/>
    </row>
    <row r="880" spans="1:10" x14ac:dyDescent="0.35">
      <c r="A880" s="189"/>
      <c r="B880" s="542"/>
      <c r="C880" s="8"/>
      <c r="D880" s="8"/>
      <c r="E880" s="236"/>
      <c r="F880" s="226"/>
      <c r="G880" s="226"/>
      <c r="H880" s="226"/>
      <c r="I880" s="237"/>
      <c r="J880" s="226"/>
    </row>
    <row r="881" spans="1:10" x14ac:dyDescent="0.35">
      <c r="A881" s="189"/>
      <c r="B881" s="542"/>
      <c r="C881" s="8"/>
      <c r="D881" s="8"/>
      <c r="E881" s="236"/>
      <c r="F881" s="226"/>
      <c r="G881" s="226"/>
      <c r="H881" s="226"/>
      <c r="I881" s="237"/>
      <c r="J881" s="226"/>
    </row>
    <row r="882" spans="1:10" x14ac:dyDescent="0.35">
      <c r="A882" s="189"/>
      <c r="B882" s="542"/>
      <c r="C882" s="8"/>
      <c r="D882" s="8"/>
      <c r="E882" s="236"/>
      <c r="F882" s="226"/>
      <c r="G882" s="226"/>
      <c r="H882" s="226"/>
      <c r="I882" s="237"/>
      <c r="J882" s="226"/>
    </row>
    <row r="883" spans="1:10" x14ac:dyDescent="0.35">
      <c r="A883" s="189"/>
      <c r="B883" s="542"/>
      <c r="C883" s="8"/>
      <c r="D883" s="8"/>
      <c r="E883" s="236"/>
      <c r="F883" s="226"/>
      <c r="G883" s="226"/>
      <c r="H883" s="226"/>
      <c r="I883" s="237"/>
      <c r="J883" s="226"/>
    </row>
    <row r="884" spans="1:10" x14ac:dyDescent="0.35">
      <c r="A884" s="189"/>
      <c r="B884" s="542"/>
      <c r="C884" s="8"/>
      <c r="D884" s="8"/>
      <c r="E884" s="236"/>
      <c r="F884" s="226"/>
      <c r="G884" s="226"/>
      <c r="H884" s="226"/>
      <c r="I884" s="237"/>
      <c r="J884" s="226"/>
    </row>
    <row r="885" spans="1:10" x14ac:dyDescent="0.35">
      <c r="A885" s="189"/>
      <c r="B885" s="542"/>
      <c r="C885" s="8"/>
      <c r="D885" s="8"/>
      <c r="E885" s="236"/>
      <c r="F885" s="226"/>
      <c r="G885" s="226"/>
      <c r="H885" s="226"/>
      <c r="I885" s="237"/>
      <c r="J885" s="226"/>
    </row>
    <row r="886" spans="1:10" x14ac:dyDescent="0.35">
      <c r="A886" s="189"/>
      <c r="B886" s="542"/>
      <c r="C886" s="8"/>
      <c r="D886" s="8"/>
      <c r="E886" s="236"/>
      <c r="F886" s="226"/>
      <c r="G886" s="226"/>
      <c r="H886" s="226"/>
      <c r="I886" s="237"/>
      <c r="J886" s="226"/>
    </row>
    <row r="887" spans="1:10" x14ac:dyDescent="0.35">
      <c r="A887" s="189"/>
      <c r="B887" s="542"/>
      <c r="C887" s="8"/>
      <c r="D887" s="8"/>
      <c r="E887" s="236"/>
      <c r="F887" s="226"/>
      <c r="G887" s="226"/>
      <c r="H887" s="226"/>
      <c r="I887" s="237"/>
      <c r="J887" s="226"/>
    </row>
    <row r="888" spans="1:10" x14ac:dyDescent="0.35">
      <c r="A888" s="189"/>
      <c r="B888" s="542"/>
      <c r="C888" s="8"/>
      <c r="D888" s="8"/>
      <c r="E888" s="236"/>
      <c r="F888" s="226"/>
      <c r="G888" s="226"/>
      <c r="H888" s="226"/>
      <c r="I888" s="237"/>
      <c r="J888" s="226"/>
    </row>
    <row r="889" spans="1:10" x14ac:dyDescent="0.35">
      <c r="A889" s="189"/>
      <c r="B889" s="542"/>
      <c r="C889" s="8"/>
      <c r="D889" s="8"/>
      <c r="E889" s="236"/>
      <c r="F889" s="226"/>
      <c r="G889" s="226"/>
      <c r="H889" s="226"/>
      <c r="I889" s="237"/>
      <c r="J889" s="226"/>
    </row>
    <row r="890" spans="1:10" x14ac:dyDescent="0.35">
      <c r="A890" s="189"/>
      <c r="B890" s="542"/>
      <c r="C890" s="8"/>
      <c r="D890" s="8"/>
      <c r="E890" s="236"/>
      <c r="F890" s="226"/>
      <c r="G890" s="226"/>
      <c r="H890" s="226"/>
      <c r="I890" s="237"/>
      <c r="J890" s="226"/>
    </row>
    <row r="891" spans="1:10" x14ac:dyDescent="0.35">
      <c r="A891" s="189"/>
      <c r="B891" s="542"/>
      <c r="C891" s="8"/>
      <c r="D891" s="8"/>
      <c r="E891" s="236"/>
      <c r="F891" s="226"/>
      <c r="G891" s="226"/>
      <c r="H891" s="226"/>
      <c r="I891" s="237"/>
      <c r="J891" s="226"/>
    </row>
    <row r="892" spans="1:10" x14ac:dyDescent="0.35">
      <c r="A892" s="225"/>
      <c r="B892" s="545"/>
      <c r="C892" s="8"/>
      <c r="D892" s="8"/>
      <c r="E892" s="241"/>
      <c r="F892" s="227"/>
      <c r="G892" s="227"/>
      <c r="H892" s="227"/>
      <c r="I892" s="242"/>
      <c r="J892" s="226"/>
    </row>
    <row r="893" spans="1:10" x14ac:dyDescent="0.35">
      <c r="A893" s="189"/>
      <c r="B893" s="541"/>
      <c r="C893" s="8"/>
      <c r="D893" s="8"/>
      <c r="E893" s="236"/>
      <c r="F893" s="226"/>
      <c r="G893" s="226"/>
      <c r="H893" s="226"/>
      <c r="I893" s="237"/>
      <c r="J893" s="226"/>
    </row>
    <row r="894" spans="1:10" x14ac:dyDescent="0.35">
      <c r="A894" s="189"/>
      <c r="B894" s="542"/>
      <c r="C894" s="8"/>
      <c r="D894" s="8"/>
      <c r="E894" s="236"/>
      <c r="F894" s="226"/>
      <c r="G894" s="226"/>
      <c r="H894" s="226"/>
      <c r="I894" s="237"/>
      <c r="J894" s="226"/>
    </row>
    <row r="895" spans="1:10" x14ac:dyDescent="0.35">
      <c r="A895" s="189"/>
      <c r="B895" s="542"/>
      <c r="C895" s="8"/>
      <c r="D895" s="8"/>
      <c r="E895" s="236"/>
      <c r="F895" s="226"/>
      <c r="G895" s="226"/>
      <c r="H895" s="226"/>
      <c r="I895" s="237"/>
      <c r="J895" s="226"/>
    </row>
    <row r="896" spans="1:10" x14ac:dyDescent="0.35">
      <c r="A896" s="189"/>
      <c r="B896" s="542"/>
      <c r="C896" s="8"/>
      <c r="D896" s="8"/>
      <c r="E896" s="236"/>
      <c r="F896" s="226"/>
      <c r="G896" s="226"/>
      <c r="H896" s="226"/>
      <c r="I896" s="237"/>
      <c r="J896" s="226"/>
    </row>
    <row r="897" spans="1:10" x14ac:dyDescent="0.35">
      <c r="A897" s="189"/>
      <c r="B897" s="542"/>
      <c r="C897" s="8"/>
      <c r="D897" s="8"/>
      <c r="E897" s="236"/>
      <c r="F897" s="226"/>
      <c r="G897" s="226"/>
      <c r="H897" s="226"/>
      <c r="I897" s="237"/>
      <c r="J897" s="226"/>
    </row>
    <row r="898" spans="1:10" x14ac:dyDescent="0.35">
      <c r="A898" s="189"/>
      <c r="B898" s="542"/>
      <c r="C898" s="8"/>
      <c r="D898" s="8"/>
      <c r="E898" s="236"/>
      <c r="F898" s="226"/>
      <c r="G898" s="226"/>
      <c r="H898" s="226"/>
      <c r="I898" s="237"/>
      <c r="J898" s="226"/>
    </row>
    <row r="899" spans="1:10" x14ac:dyDescent="0.35">
      <c r="A899" s="189"/>
      <c r="B899" s="542"/>
      <c r="C899" s="8"/>
      <c r="D899" s="8"/>
      <c r="E899" s="236"/>
      <c r="F899" s="226"/>
      <c r="G899" s="226"/>
      <c r="H899" s="226"/>
      <c r="I899" s="237"/>
      <c r="J899" s="226"/>
    </row>
    <row r="900" spans="1:10" x14ac:dyDescent="0.35">
      <c r="A900" s="189"/>
      <c r="B900" s="542"/>
      <c r="C900" s="8"/>
      <c r="D900" s="8"/>
      <c r="E900" s="236"/>
      <c r="F900" s="226"/>
      <c r="G900" s="226"/>
      <c r="H900" s="226"/>
      <c r="I900" s="237"/>
      <c r="J900" s="226"/>
    </row>
    <row r="901" spans="1:10" x14ac:dyDescent="0.35">
      <c r="A901" s="189"/>
      <c r="B901" s="542"/>
      <c r="C901" s="8"/>
      <c r="D901" s="8"/>
      <c r="E901" s="236"/>
      <c r="F901" s="226"/>
      <c r="G901" s="226"/>
      <c r="H901" s="226"/>
      <c r="I901" s="237"/>
      <c r="J901" s="226"/>
    </row>
    <row r="902" spans="1:10" x14ac:dyDescent="0.35">
      <c r="A902" s="189"/>
      <c r="B902" s="542"/>
      <c r="C902" s="8"/>
      <c r="D902" s="8"/>
      <c r="E902" s="236"/>
      <c r="F902" s="226"/>
      <c r="G902" s="226"/>
      <c r="H902" s="226"/>
      <c r="I902" s="237"/>
      <c r="J902" s="226"/>
    </row>
    <row r="903" spans="1:10" x14ac:dyDescent="0.35">
      <c r="A903" s="189"/>
      <c r="B903" s="542"/>
      <c r="C903" s="8"/>
      <c r="D903" s="8"/>
      <c r="E903" s="236"/>
      <c r="F903" s="226"/>
      <c r="G903" s="226"/>
      <c r="H903" s="226"/>
      <c r="I903" s="237"/>
      <c r="J903" s="226"/>
    </row>
    <row r="904" spans="1:10" x14ac:dyDescent="0.35">
      <c r="A904" s="189"/>
      <c r="B904" s="542"/>
      <c r="C904" s="8"/>
      <c r="D904" s="8"/>
      <c r="E904" s="236"/>
      <c r="F904" s="226"/>
      <c r="G904" s="226"/>
      <c r="H904" s="226"/>
      <c r="I904" s="237"/>
      <c r="J904" s="226"/>
    </row>
    <row r="905" spans="1:10" x14ac:dyDescent="0.35">
      <c r="A905" s="189"/>
      <c r="B905" s="542"/>
      <c r="C905" s="8"/>
      <c r="D905" s="8"/>
      <c r="E905" s="236"/>
      <c r="F905" s="226"/>
      <c r="G905" s="226"/>
      <c r="H905" s="226"/>
      <c r="I905" s="237"/>
      <c r="J905" s="226"/>
    </row>
    <row r="906" spans="1:10" x14ac:dyDescent="0.35">
      <c r="A906" s="189"/>
      <c r="B906" s="542"/>
      <c r="C906" s="8"/>
      <c r="D906" s="8"/>
      <c r="E906" s="236"/>
      <c r="F906" s="226"/>
      <c r="G906" s="226"/>
      <c r="H906" s="226"/>
      <c r="I906" s="237"/>
      <c r="J906" s="226"/>
    </row>
    <row r="907" spans="1:10" x14ac:dyDescent="0.35">
      <c r="A907" s="189"/>
      <c r="B907" s="542"/>
      <c r="C907" s="8"/>
      <c r="D907" s="8"/>
      <c r="E907" s="236"/>
      <c r="F907" s="226"/>
      <c r="G907" s="226"/>
      <c r="H907" s="226"/>
      <c r="I907" s="237"/>
      <c r="J907" s="226"/>
    </row>
    <row r="908" spans="1:10" x14ac:dyDescent="0.35">
      <c r="A908" s="189"/>
      <c r="B908" s="542"/>
      <c r="C908" s="8"/>
      <c r="D908" s="8"/>
      <c r="E908" s="236"/>
      <c r="F908" s="226"/>
      <c r="G908" s="226"/>
      <c r="H908" s="226"/>
      <c r="I908" s="237"/>
      <c r="J908" s="226"/>
    </row>
    <row r="909" spans="1:10" x14ac:dyDescent="0.35">
      <c r="A909" s="225"/>
      <c r="B909" s="545"/>
      <c r="C909" s="8"/>
      <c r="D909" s="8"/>
      <c r="E909" s="241"/>
      <c r="F909" s="227"/>
      <c r="G909" s="227"/>
      <c r="H909" s="227"/>
      <c r="I909" s="242"/>
      <c r="J909" s="226"/>
    </row>
    <row r="910" spans="1:10" x14ac:dyDescent="0.35">
      <c r="A910" s="189"/>
      <c r="B910" s="541"/>
      <c r="C910" s="8"/>
      <c r="D910" s="8"/>
      <c r="E910" s="236"/>
      <c r="F910" s="226"/>
      <c r="G910" s="226"/>
      <c r="H910" s="226"/>
      <c r="I910" s="237"/>
      <c r="J910" s="226"/>
    </row>
    <row r="911" spans="1:10" x14ac:dyDescent="0.35">
      <c r="A911" s="189"/>
      <c r="B911" s="542"/>
      <c r="C911" s="8"/>
      <c r="D911" s="8"/>
      <c r="E911" s="236"/>
      <c r="F911" s="226"/>
      <c r="G911" s="226"/>
      <c r="H911" s="226"/>
      <c r="I911" s="237"/>
      <c r="J911" s="226"/>
    </row>
    <row r="912" spans="1:10" x14ac:dyDescent="0.35">
      <c r="A912" s="189"/>
      <c r="B912" s="542"/>
      <c r="C912" s="8"/>
      <c r="D912" s="8"/>
      <c r="E912" s="236"/>
      <c r="F912" s="226"/>
      <c r="G912" s="226"/>
      <c r="H912" s="226"/>
      <c r="I912" s="237"/>
      <c r="J912" s="226"/>
    </row>
    <row r="913" spans="1:10" x14ac:dyDescent="0.35">
      <c r="A913" s="189"/>
      <c r="B913" s="542"/>
      <c r="C913" s="8"/>
      <c r="D913" s="8"/>
      <c r="E913" s="236"/>
      <c r="F913" s="226"/>
      <c r="G913" s="226"/>
      <c r="H913" s="226"/>
      <c r="I913" s="237"/>
      <c r="J913" s="226"/>
    </row>
    <row r="914" spans="1:10" x14ac:dyDescent="0.35">
      <c r="A914" s="189"/>
      <c r="B914" s="542"/>
      <c r="C914" s="8"/>
      <c r="D914" s="8"/>
      <c r="E914" s="236"/>
      <c r="F914" s="226"/>
      <c r="G914" s="226"/>
      <c r="H914" s="226"/>
      <c r="I914" s="237"/>
      <c r="J914" s="226"/>
    </row>
    <row r="915" spans="1:10" x14ac:dyDescent="0.35">
      <c r="A915" s="189"/>
      <c r="B915" s="542"/>
      <c r="C915" s="8"/>
      <c r="D915" s="8"/>
      <c r="E915" s="236"/>
      <c r="F915" s="226"/>
      <c r="G915" s="226"/>
      <c r="H915" s="226"/>
      <c r="I915" s="237"/>
      <c r="J915" s="226"/>
    </row>
    <row r="916" spans="1:10" x14ac:dyDescent="0.35">
      <c r="A916" s="189"/>
      <c r="B916" s="542"/>
      <c r="C916" s="8"/>
      <c r="D916" s="8"/>
      <c r="E916" s="236"/>
      <c r="F916" s="226"/>
      <c r="G916" s="226"/>
      <c r="H916" s="226"/>
      <c r="I916" s="237"/>
      <c r="J916" s="226"/>
    </row>
    <row r="917" spans="1:10" x14ac:dyDescent="0.35">
      <c r="A917" s="189"/>
      <c r="B917" s="542"/>
      <c r="C917" s="8"/>
      <c r="D917" s="8"/>
      <c r="E917" s="236"/>
      <c r="F917" s="226"/>
      <c r="G917" s="226"/>
      <c r="H917" s="226"/>
      <c r="I917" s="237"/>
      <c r="J917" s="226"/>
    </row>
    <row r="918" spans="1:10" x14ac:dyDescent="0.35">
      <c r="A918" s="189"/>
      <c r="B918" s="542"/>
      <c r="C918" s="8"/>
      <c r="D918" s="8"/>
      <c r="E918" s="236"/>
      <c r="F918" s="226"/>
      <c r="G918" s="226"/>
      <c r="H918" s="226"/>
      <c r="I918" s="237"/>
      <c r="J918" s="226"/>
    </row>
    <row r="919" spans="1:10" x14ac:dyDescent="0.35">
      <c r="A919" s="189"/>
      <c r="B919" s="542"/>
      <c r="C919" s="8"/>
      <c r="D919" s="8"/>
      <c r="E919" s="236"/>
      <c r="F919" s="226"/>
      <c r="G919" s="226"/>
      <c r="H919" s="226"/>
      <c r="I919" s="237"/>
      <c r="J919" s="226"/>
    </row>
    <row r="920" spans="1:10" x14ac:dyDescent="0.35">
      <c r="A920" s="189"/>
      <c r="B920" s="542"/>
      <c r="C920" s="8"/>
      <c r="D920" s="8"/>
      <c r="E920" s="236"/>
      <c r="F920" s="226"/>
      <c r="G920" s="226"/>
      <c r="H920" s="226"/>
      <c r="I920" s="237"/>
      <c r="J920" s="226"/>
    </row>
    <row r="921" spans="1:10" x14ac:dyDescent="0.35">
      <c r="A921" s="189"/>
      <c r="B921" s="542"/>
      <c r="C921" s="8"/>
      <c r="D921" s="8"/>
      <c r="E921" s="236"/>
      <c r="F921" s="226"/>
      <c r="G921" s="226"/>
      <c r="H921" s="226"/>
      <c r="I921" s="237"/>
      <c r="J921" s="226"/>
    </row>
    <row r="922" spans="1:10" x14ac:dyDescent="0.35">
      <c r="A922" s="189"/>
      <c r="B922" s="542"/>
      <c r="C922" s="8"/>
      <c r="D922" s="8"/>
      <c r="E922" s="236"/>
      <c r="F922" s="226"/>
      <c r="G922" s="226"/>
      <c r="H922" s="226"/>
      <c r="I922" s="237"/>
      <c r="J922" s="226"/>
    </row>
    <row r="923" spans="1:10" x14ac:dyDescent="0.35">
      <c r="A923" s="189"/>
      <c r="B923" s="542"/>
      <c r="C923" s="8"/>
      <c r="D923" s="8"/>
      <c r="E923" s="236"/>
      <c r="F923" s="226"/>
      <c r="G923" s="226"/>
      <c r="H923" s="226"/>
      <c r="I923" s="237"/>
      <c r="J923" s="226"/>
    </row>
    <row r="924" spans="1:10" x14ac:dyDescent="0.35">
      <c r="A924" s="189"/>
      <c r="B924" s="542"/>
      <c r="C924" s="8"/>
      <c r="D924" s="8"/>
      <c r="E924" s="236"/>
      <c r="F924" s="226"/>
      <c r="G924" s="226"/>
      <c r="H924" s="226"/>
      <c r="I924" s="237"/>
      <c r="J924" s="226"/>
    </row>
    <row r="925" spans="1:10" x14ac:dyDescent="0.35">
      <c r="A925" s="189"/>
      <c r="B925" s="542"/>
      <c r="C925" s="8"/>
      <c r="D925" s="8"/>
      <c r="E925" s="236"/>
      <c r="F925" s="226"/>
      <c r="G925" s="226"/>
      <c r="H925" s="226"/>
      <c r="I925" s="237"/>
      <c r="J925" s="226"/>
    </row>
    <row r="926" spans="1:10" x14ac:dyDescent="0.35">
      <c r="A926" s="225"/>
      <c r="B926" s="545"/>
      <c r="C926" s="8"/>
      <c r="D926" s="8"/>
      <c r="E926" s="241"/>
      <c r="F926" s="227"/>
      <c r="G926" s="227"/>
      <c r="H926" s="227"/>
      <c r="I926" s="242"/>
      <c r="J926" s="226"/>
    </row>
    <row r="927" spans="1:10" x14ac:dyDescent="0.35">
      <c r="A927" s="189"/>
      <c r="B927" s="541"/>
      <c r="C927" s="8"/>
      <c r="D927" s="8"/>
      <c r="E927" s="236"/>
      <c r="F927" s="226"/>
      <c r="G927" s="226"/>
      <c r="H927" s="226"/>
      <c r="I927" s="237"/>
      <c r="J927" s="226"/>
    </row>
    <row r="928" spans="1:10" x14ac:dyDescent="0.35">
      <c r="A928" s="189"/>
      <c r="B928" s="542"/>
      <c r="C928" s="8"/>
      <c r="D928" s="8"/>
      <c r="E928" s="236"/>
      <c r="F928" s="226"/>
      <c r="G928" s="226"/>
      <c r="H928" s="226"/>
      <c r="I928" s="237"/>
      <c r="J928" s="226"/>
    </row>
    <row r="929" spans="1:10" x14ac:dyDescent="0.35">
      <c r="A929" s="189"/>
      <c r="B929" s="542"/>
      <c r="C929" s="8"/>
      <c r="D929" s="8"/>
      <c r="E929" s="236"/>
      <c r="F929" s="226"/>
      <c r="G929" s="226"/>
      <c r="H929" s="226"/>
      <c r="I929" s="237"/>
      <c r="J929" s="226"/>
    </row>
    <row r="930" spans="1:10" x14ac:dyDescent="0.35">
      <c r="A930" s="189"/>
      <c r="B930" s="542"/>
      <c r="C930" s="8"/>
      <c r="D930" s="8"/>
      <c r="E930" s="236"/>
      <c r="F930" s="226"/>
      <c r="G930" s="226"/>
      <c r="H930" s="226"/>
      <c r="I930" s="237"/>
      <c r="J930" s="226"/>
    </row>
    <row r="931" spans="1:10" x14ac:dyDescent="0.35">
      <c r="A931" s="189"/>
      <c r="B931" s="542"/>
      <c r="C931" s="8"/>
      <c r="D931" s="8"/>
      <c r="E931" s="236"/>
      <c r="F931" s="226"/>
      <c r="G931" s="226"/>
      <c r="H931" s="226"/>
      <c r="I931" s="237"/>
      <c r="J931" s="226"/>
    </row>
    <row r="932" spans="1:10" x14ac:dyDescent="0.35">
      <c r="A932" s="189"/>
      <c r="B932" s="542"/>
      <c r="C932" s="8"/>
      <c r="D932" s="8"/>
      <c r="E932" s="236"/>
      <c r="F932" s="226"/>
      <c r="G932" s="226"/>
      <c r="H932" s="226"/>
      <c r="I932" s="237"/>
      <c r="J932" s="226"/>
    </row>
    <row r="933" spans="1:10" x14ac:dyDescent="0.35">
      <c r="A933" s="189"/>
      <c r="B933" s="542"/>
      <c r="C933" s="8"/>
      <c r="D933" s="8"/>
      <c r="E933" s="236"/>
      <c r="F933" s="226"/>
      <c r="G933" s="226"/>
      <c r="H933" s="226"/>
      <c r="I933" s="237"/>
      <c r="J933" s="226"/>
    </row>
    <row r="934" spans="1:10" x14ac:dyDescent="0.35">
      <c r="A934" s="189"/>
      <c r="B934" s="542"/>
      <c r="C934" s="8"/>
      <c r="D934" s="8"/>
      <c r="E934" s="236"/>
      <c r="F934" s="226"/>
      <c r="G934" s="226"/>
      <c r="H934" s="226"/>
      <c r="I934" s="237"/>
      <c r="J934" s="226"/>
    </row>
    <row r="935" spans="1:10" x14ac:dyDescent="0.35">
      <c r="A935" s="189"/>
      <c r="B935" s="542"/>
      <c r="C935" s="8"/>
      <c r="D935" s="8"/>
      <c r="E935" s="236"/>
      <c r="F935" s="226"/>
      <c r="G935" s="226"/>
      <c r="H935" s="226"/>
      <c r="I935" s="237"/>
      <c r="J935" s="226"/>
    </row>
    <row r="936" spans="1:10" x14ac:dyDescent="0.35">
      <c r="A936" s="189"/>
      <c r="B936" s="542"/>
      <c r="C936" s="8"/>
      <c r="D936" s="8"/>
      <c r="E936" s="236"/>
      <c r="F936" s="226"/>
      <c r="G936" s="226"/>
      <c r="H936" s="226"/>
      <c r="I936" s="237"/>
      <c r="J936" s="226"/>
    </row>
    <row r="937" spans="1:10" x14ac:dyDescent="0.35">
      <c r="A937" s="189"/>
      <c r="B937" s="542"/>
      <c r="C937" s="8"/>
      <c r="D937" s="8"/>
      <c r="E937" s="236"/>
      <c r="F937" s="226"/>
      <c r="G937" s="226"/>
      <c r="H937" s="226"/>
      <c r="I937" s="237"/>
      <c r="J937" s="226"/>
    </row>
    <row r="938" spans="1:10" x14ac:dyDescent="0.35">
      <c r="A938" s="189"/>
      <c r="B938" s="542"/>
      <c r="C938" s="8"/>
      <c r="D938" s="8"/>
      <c r="E938" s="236"/>
      <c r="F938" s="226"/>
      <c r="G938" s="226"/>
      <c r="H938" s="226"/>
      <c r="I938" s="237"/>
      <c r="J938" s="226"/>
    </row>
    <row r="939" spans="1:10" x14ac:dyDescent="0.35">
      <c r="A939" s="189"/>
      <c r="B939" s="542"/>
      <c r="C939" s="8"/>
      <c r="D939" s="8"/>
      <c r="E939" s="236"/>
      <c r="F939" s="226"/>
      <c r="G939" s="226"/>
      <c r="H939" s="226"/>
      <c r="I939" s="237"/>
      <c r="J939" s="226"/>
    </row>
    <row r="940" spans="1:10" x14ac:dyDescent="0.35">
      <c r="A940" s="189"/>
      <c r="B940" s="542"/>
      <c r="C940" s="8"/>
      <c r="D940" s="8"/>
      <c r="E940" s="236"/>
      <c r="F940" s="226"/>
      <c r="G940" s="226"/>
      <c r="H940" s="226"/>
      <c r="I940" s="237"/>
      <c r="J940" s="226"/>
    </row>
    <row r="941" spans="1:10" x14ac:dyDescent="0.35">
      <c r="A941" s="189"/>
      <c r="B941" s="542"/>
      <c r="C941" s="8"/>
      <c r="D941" s="8"/>
      <c r="E941" s="236"/>
      <c r="F941" s="226"/>
      <c r="G941" s="226"/>
      <c r="H941" s="226"/>
      <c r="I941" s="237"/>
      <c r="J941" s="226"/>
    </row>
    <row r="942" spans="1:10" x14ac:dyDescent="0.35">
      <c r="A942" s="189"/>
      <c r="B942" s="542"/>
      <c r="C942" s="8"/>
      <c r="D942" s="8"/>
      <c r="E942" s="236"/>
      <c r="F942" s="226"/>
      <c r="G942" s="226"/>
      <c r="H942" s="226"/>
      <c r="I942" s="237"/>
      <c r="J942" s="226"/>
    </row>
    <row r="943" spans="1:10" x14ac:dyDescent="0.35">
      <c r="A943" s="225"/>
      <c r="B943" s="545"/>
      <c r="C943" s="8"/>
      <c r="D943" s="8"/>
      <c r="E943" s="241"/>
      <c r="F943" s="227"/>
      <c r="G943" s="227"/>
      <c r="H943" s="227"/>
      <c r="I943" s="242"/>
      <c r="J943" s="226"/>
    </row>
    <row r="944" spans="1:10" x14ac:dyDescent="0.35">
      <c r="A944" s="189"/>
      <c r="B944" s="541"/>
      <c r="C944" s="8"/>
      <c r="D944" s="8"/>
      <c r="E944" s="236"/>
      <c r="F944" s="226"/>
      <c r="G944" s="226"/>
      <c r="H944" s="226"/>
      <c r="I944" s="237"/>
      <c r="J944" s="226"/>
    </row>
    <row r="945" spans="1:10" x14ac:dyDescent="0.35">
      <c r="A945" s="189"/>
      <c r="B945" s="542"/>
      <c r="C945" s="8"/>
      <c r="D945" s="8"/>
      <c r="E945" s="236"/>
      <c r="F945" s="226"/>
      <c r="G945" s="226"/>
      <c r="H945" s="226"/>
      <c r="I945" s="237"/>
      <c r="J945" s="226"/>
    </row>
    <row r="946" spans="1:10" x14ac:dyDescent="0.35">
      <c r="A946" s="189"/>
      <c r="B946" s="542"/>
      <c r="C946" s="8"/>
      <c r="D946" s="8"/>
      <c r="E946" s="236"/>
      <c r="F946" s="226"/>
      <c r="G946" s="226"/>
      <c r="H946" s="226"/>
      <c r="I946" s="237"/>
      <c r="J946" s="226"/>
    </row>
    <row r="947" spans="1:10" x14ac:dyDescent="0.35">
      <c r="A947" s="189"/>
      <c r="B947" s="542"/>
      <c r="C947" s="8"/>
      <c r="D947" s="8"/>
      <c r="E947" s="236"/>
      <c r="F947" s="226"/>
      <c r="G947" s="226"/>
      <c r="H947" s="226"/>
      <c r="I947" s="237"/>
      <c r="J947" s="226"/>
    </row>
    <row r="948" spans="1:10" x14ac:dyDescent="0.35">
      <c r="A948" s="189"/>
      <c r="B948" s="542"/>
      <c r="C948" s="8"/>
      <c r="D948" s="8"/>
      <c r="E948" s="236"/>
      <c r="F948" s="226"/>
      <c r="G948" s="226"/>
      <c r="H948" s="226"/>
      <c r="I948" s="237"/>
      <c r="J948" s="226"/>
    </row>
    <row r="949" spans="1:10" x14ac:dyDescent="0.35">
      <c r="A949" s="189"/>
      <c r="B949" s="542"/>
      <c r="C949" s="8"/>
      <c r="D949" s="8"/>
      <c r="E949" s="236"/>
      <c r="F949" s="226"/>
      <c r="G949" s="226"/>
      <c r="H949" s="226"/>
      <c r="I949" s="237"/>
      <c r="J949" s="226"/>
    </row>
    <row r="950" spans="1:10" x14ac:dyDescent="0.35">
      <c r="A950" s="189"/>
      <c r="B950" s="542"/>
      <c r="C950" s="8"/>
      <c r="D950" s="8"/>
      <c r="E950" s="236"/>
      <c r="F950" s="226"/>
      <c r="G950" s="226"/>
      <c r="H950" s="226"/>
      <c r="I950" s="237"/>
      <c r="J950" s="226"/>
    </row>
    <row r="951" spans="1:10" x14ac:dyDescent="0.35">
      <c r="A951" s="189"/>
      <c r="B951" s="542"/>
      <c r="C951" s="8"/>
      <c r="D951" s="8"/>
      <c r="E951" s="236"/>
      <c r="F951" s="226"/>
      <c r="G951" s="226"/>
      <c r="H951" s="226"/>
      <c r="I951" s="237"/>
      <c r="J951" s="226"/>
    </row>
    <row r="952" spans="1:10" x14ac:dyDescent="0.35">
      <c r="A952" s="189"/>
      <c r="B952" s="542"/>
      <c r="C952" s="8"/>
      <c r="D952" s="8"/>
      <c r="E952" s="236"/>
      <c r="F952" s="226"/>
      <c r="G952" s="226"/>
      <c r="H952" s="226"/>
      <c r="I952" s="237"/>
      <c r="J952" s="226"/>
    </row>
    <row r="953" spans="1:10" x14ac:dyDescent="0.35">
      <c r="A953" s="189"/>
      <c r="B953" s="542"/>
      <c r="C953" s="8"/>
      <c r="D953" s="8"/>
      <c r="E953" s="236"/>
      <c r="F953" s="226"/>
      <c r="G953" s="226"/>
      <c r="H953" s="226"/>
      <c r="I953" s="237"/>
      <c r="J953" s="226"/>
    </row>
    <row r="954" spans="1:10" x14ac:dyDescent="0.35">
      <c r="A954" s="189"/>
      <c r="B954" s="542"/>
      <c r="C954" s="8"/>
      <c r="D954" s="8"/>
      <c r="E954" s="236"/>
      <c r="F954" s="226"/>
      <c r="G954" s="226"/>
      <c r="H954" s="226"/>
      <c r="I954" s="237"/>
      <c r="J954" s="226"/>
    </row>
    <row r="955" spans="1:10" x14ac:dyDescent="0.35">
      <c r="A955" s="189"/>
      <c r="B955" s="542"/>
      <c r="C955" s="8"/>
      <c r="D955" s="8"/>
      <c r="E955" s="236"/>
      <c r="F955" s="226"/>
      <c r="G955" s="226"/>
      <c r="H955" s="226"/>
      <c r="I955" s="237"/>
      <c r="J955" s="226"/>
    </row>
    <row r="956" spans="1:10" x14ac:dyDescent="0.35">
      <c r="A956" s="189"/>
      <c r="B956" s="542"/>
      <c r="C956" s="8"/>
      <c r="D956" s="8"/>
      <c r="E956" s="236"/>
      <c r="F956" s="226"/>
      <c r="G956" s="226"/>
      <c r="H956" s="226"/>
      <c r="I956" s="237"/>
      <c r="J956" s="226"/>
    </row>
    <row r="957" spans="1:10" x14ac:dyDescent="0.35">
      <c r="A957" s="189"/>
      <c r="B957" s="542"/>
      <c r="C957" s="8"/>
      <c r="D957" s="8"/>
      <c r="E957" s="236"/>
      <c r="F957" s="226"/>
      <c r="G957" s="226"/>
      <c r="H957" s="226"/>
      <c r="I957" s="237"/>
      <c r="J957" s="226"/>
    </row>
    <row r="958" spans="1:10" x14ac:dyDescent="0.35">
      <c r="A958" s="189"/>
      <c r="B958" s="542"/>
      <c r="C958" s="8"/>
      <c r="D958" s="8"/>
      <c r="E958" s="236"/>
      <c r="F958" s="226"/>
      <c r="G958" s="226"/>
      <c r="H958" s="226"/>
      <c r="I958" s="237"/>
      <c r="J958" s="226"/>
    </row>
    <row r="959" spans="1:10" x14ac:dyDescent="0.35">
      <c r="A959" s="189"/>
      <c r="B959" s="542"/>
      <c r="C959" s="8"/>
      <c r="D959" s="8"/>
      <c r="E959" s="236"/>
      <c r="F959" s="226"/>
      <c r="G959" s="226"/>
      <c r="H959" s="226"/>
      <c r="I959" s="237"/>
      <c r="J959" s="226"/>
    </row>
    <row r="960" spans="1:10" x14ac:dyDescent="0.35">
      <c r="A960" s="225"/>
      <c r="B960" s="545"/>
      <c r="C960" s="8"/>
      <c r="D960" s="8"/>
      <c r="E960" s="241"/>
      <c r="F960" s="227"/>
      <c r="G960" s="227"/>
      <c r="H960" s="227"/>
      <c r="I960" s="242"/>
      <c r="J960" s="226"/>
    </row>
    <row r="961" spans="1:10" x14ac:dyDescent="0.35">
      <c r="A961" s="189"/>
      <c r="B961" s="541"/>
      <c r="C961" s="8"/>
      <c r="D961" s="8"/>
      <c r="E961" s="236"/>
      <c r="F961" s="226"/>
      <c r="G961" s="226"/>
      <c r="H961" s="226"/>
      <c r="I961" s="237"/>
      <c r="J961" s="226"/>
    </row>
    <row r="962" spans="1:10" x14ac:dyDescent="0.35">
      <c r="A962" s="189"/>
      <c r="B962" s="542"/>
      <c r="C962" s="8"/>
      <c r="D962" s="8"/>
      <c r="E962" s="236"/>
      <c r="F962" s="226"/>
      <c r="G962" s="226"/>
      <c r="H962" s="226"/>
      <c r="I962" s="237"/>
      <c r="J962" s="226"/>
    </row>
    <row r="963" spans="1:10" x14ac:dyDescent="0.35">
      <c r="A963" s="189"/>
      <c r="B963" s="542"/>
      <c r="C963" s="8"/>
      <c r="D963" s="8"/>
      <c r="E963" s="236"/>
      <c r="F963" s="226"/>
      <c r="G963" s="226"/>
      <c r="H963" s="226"/>
      <c r="I963" s="237"/>
      <c r="J963" s="226"/>
    </row>
    <row r="964" spans="1:10" x14ac:dyDescent="0.35">
      <c r="A964" s="189"/>
      <c r="B964" s="542"/>
      <c r="C964" s="8"/>
      <c r="D964" s="8"/>
      <c r="E964" s="236"/>
      <c r="F964" s="226"/>
      <c r="G964" s="226"/>
      <c r="H964" s="226"/>
      <c r="I964" s="237"/>
      <c r="J964" s="226"/>
    </row>
    <row r="965" spans="1:10" x14ac:dyDescent="0.35">
      <c r="A965" s="189"/>
      <c r="B965" s="542"/>
      <c r="C965" s="8"/>
      <c r="D965" s="8"/>
      <c r="E965" s="236"/>
      <c r="F965" s="226"/>
      <c r="G965" s="226"/>
      <c r="H965" s="226"/>
      <c r="I965" s="237"/>
      <c r="J965" s="226"/>
    </row>
    <row r="966" spans="1:10" x14ac:dyDescent="0.35">
      <c r="A966" s="189"/>
      <c r="B966" s="542"/>
      <c r="C966" s="8"/>
      <c r="D966" s="8"/>
      <c r="E966" s="236"/>
      <c r="F966" s="226"/>
      <c r="G966" s="226"/>
      <c r="H966" s="226"/>
      <c r="I966" s="237"/>
      <c r="J966" s="226"/>
    </row>
    <row r="967" spans="1:10" x14ac:dyDescent="0.35">
      <c r="A967" s="189"/>
      <c r="B967" s="542"/>
      <c r="C967" s="8"/>
      <c r="D967" s="8"/>
      <c r="E967" s="236"/>
      <c r="F967" s="226"/>
      <c r="G967" s="226"/>
      <c r="H967" s="226"/>
      <c r="I967" s="237"/>
      <c r="J967" s="226"/>
    </row>
    <row r="968" spans="1:10" x14ac:dyDescent="0.35">
      <c r="A968" s="189"/>
      <c r="B968" s="542"/>
      <c r="C968" s="8"/>
      <c r="D968" s="8"/>
      <c r="E968" s="236"/>
      <c r="F968" s="226"/>
      <c r="G968" s="226"/>
      <c r="H968" s="226"/>
      <c r="I968" s="237"/>
      <c r="J968" s="226"/>
    </row>
    <row r="969" spans="1:10" x14ac:dyDescent="0.35">
      <c r="A969" s="189"/>
      <c r="B969" s="542"/>
      <c r="C969" s="8"/>
      <c r="D969" s="8"/>
      <c r="E969" s="236"/>
      <c r="F969" s="226"/>
      <c r="G969" s="226"/>
      <c r="H969" s="226"/>
      <c r="I969" s="237"/>
      <c r="J969" s="226"/>
    </row>
    <row r="970" spans="1:10" x14ac:dyDescent="0.35">
      <c r="A970" s="189"/>
      <c r="B970" s="542"/>
      <c r="C970" s="8"/>
      <c r="D970" s="8"/>
      <c r="E970" s="236"/>
      <c r="F970" s="226"/>
      <c r="G970" s="226"/>
      <c r="H970" s="226"/>
      <c r="I970" s="237"/>
      <c r="J970" s="226"/>
    </row>
    <row r="971" spans="1:10" x14ac:dyDescent="0.35">
      <c r="A971" s="189"/>
      <c r="B971" s="542"/>
      <c r="C971" s="8"/>
      <c r="D971" s="8"/>
      <c r="E971" s="236"/>
      <c r="F971" s="226"/>
      <c r="G971" s="226"/>
      <c r="H971" s="226"/>
      <c r="I971" s="237"/>
      <c r="J971" s="226"/>
    </row>
    <row r="972" spans="1:10" x14ac:dyDescent="0.35">
      <c r="A972" s="189"/>
      <c r="B972" s="542"/>
      <c r="C972" s="8"/>
      <c r="D972" s="8"/>
      <c r="E972" s="236"/>
      <c r="F972" s="226"/>
      <c r="G972" s="226"/>
      <c r="H972" s="226"/>
      <c r="I972" s="237"/>
      <c r="J972" s="226"/>
    </row>
    <row r="973" spans="1:10" x14ac:dyDescent="0.35">
      <c r="A973" s="189"/>
      <c r="B973" s="542"/>
      <c r="C973" s="8"/>
      <c r="D973" s="8"/>
      <c r="E973" s="236"/>
      <c r="F973" s="226"/>
      <c r="G973" s="226"/>
      <c r="H973" s="226"/>
      <c r="I973" s="237"/>
      <c r="J973" s="226"/>
    </row>
    <row r="974" spans="1:10" x14ac:dyDescent="0.35">
      <c r="A974" s="189"/>
      <c r="B974" s="542"/>
      <c r="C974" s="8"/>
      <c r="D974" s="8"/>
      <c r="E974" s="236"/>
      <c r="F974" s="226"/>
      <c r="G974" s="226"/>
      <c r="H974" s="226"/>
      <c r="I974" s="237"/>
      <c r="J974" s="226"/>
    </row>
    <row r="975" spans="1:10" x14ac:dyDescent="0.35">
      <c r="A975" s="189"/>
      <c r="B975" s="542"/>
      <c r="C975" s="8"/>
      <c r="D975" s="8"/>
      <c r="E975" s="236"/>
      <c r="F975" s="226"/>
      <c r="G975" s="226"/>
      <c r="H975" s="226"/>
      <c r="I975" s="237"/>
      <c r="J975" s="226"/>
    </row>
    <row r="976" spans="1:10" x14ac:dyDescent="0.35">
      <c r="A976" s="189"/>
      <c r="B976" s="542"/>
      <c r="C976" s="8"/>
      <c r="D976" s="8"/>
      <c r="E976" s="236"/>
      <c r="F976" s="226"/>
      <c r="G976" s="226"/>
      <c r="H976" s="226"/>
      <c r="I976" s="237"/>
      <c r="J976" s="226"/>
    </row>
    <row r="977" spans="1:10" x14ac:dyDescent="0.35">
      <c r="A977" s="225"/>
      <c r="B977" s="545"/>
      <c r="C977" s="8"/>
      <c r="D977" s="8"/>
      <c r="E977" s="241"/>
      <c r="F977" s="227"/>
      <c r="G977" s="227"/>
      <c r="H977" s="227"/>
      <c r="I977" s="242"/>
      <c r="J977" s="226"/>
    </row>
    <row r="978" spans="1:10" x14ac:dyDescent="0.35">
      <c r="A978" s="189"/>
      <c r="B978" s="541"/>
      <c r="C978" s="8"/>
      <c r="D978" s="8"/>
      <c r="E978" s="236"/>
      <c r="F978" s="226"/>
      <c r="G978" s="226"/>
      <c r="H978" s="226"/>
      <c r="I978" s="237"/>
      <c r="J978" s="226"/>
    </row>
    <row r="979" spans="1:10" x14ac:dyDescent="0.35">
      <c r="A979" s="189"/>
      <c r="B979" s="542"/>
      <c r="C979" s="8"/>
      <c r="D979" s="8"/>
      <c r="E979" s="236"/>
      <c r="F979" s="226"/>
      <c r="G979" s="226"/>
      <c r="H979" s="226"/>
      <c r="I979" s="237"/>
      <c r="J979" s="226"/>
    </row>
    <row r="980" spans="1:10" x14ac:dyDescent="0.35">
      <c r="A980" s="189"/>
      <c r="B980" s="542"/>
      <c r="C980" s="8"/>
      <c r="D980" s="8"/>
      <c r="E980" s="236"/>
      <c r="F980" s="226"/>
      <c r="G980" s="226"/>
      <c r="H980" s="226"/>
      <c r="I980" s="237"/>
      <c r="J980" s="226"/>
    </row>
    <row r="981" spans="1:10" x14ac:dyDescent="0.35">
      <c r="A981" s="189"/>
      <c r="B981" s="542"/>
      <c r="C981" s="8"/>
      <c r="D981" s="8"/>
      <c r="E981" s="236"/>
      <c r="F981" s="226"/>
      <c r="G981" s="226"/>
      <c r="H981" s="226"/>
      <c r="I981" s="237"/>
      <c r="J981" s="226"/>
    </row>
    <row r="982" spans="1:10" x14ac:dyDescent="0.35">
      <c r="A982" s="189"/>
      <c r="B982" s="542"/>
      <c r="C982" s="8"/>
      <c r="D982" s="8"/>
      <c r="E982" s="236"/>
      <c r="F982" s="226"/>
      <c r="G982" s="226"/>
      <c r="H982" s="226"/>
      <c r="I982" s="237"/>
      <c r="J982" s="226"/>
    </row>
    <row r="983" spans="1:10" x14ac:dyDescent="0.35">
      <c r="A983" s="189"/>
      <c r="B983" s="542"/>
      <c r="C983" s="8"/>
      <c r="D983" s="8"/>
      <c r="E983" s="236"/>
      <c r="F983" s="226"/>
      <c r="G983" s="226"/>
      <c r="H983" s="226"/>
      <c r="I983" s="237"/>
      <c r="J983" s="226"/>
    </row>
    <row r="984" spans="1:10" x14ac:dyDescent="0.35">
      <c r="A984" s="189"/>
      <c r="B984" s="542"/>
      <c r="C984" s="8"/>
      <c r="D984" s="8"/>
      <c r="E984" s="236"/>
      <c r="F984" s="226"/>
      <c r="G984" s="226"/>
      <c r="H984" s="226"/>
      <c r="I984" s="237"/>
      <c r="J984" s="226"/>
    </row>
    <row r="985" spans="1:10" x14ac:dyDescent="0.35">
      <c r="A985" s="189"/>
      <c r="B985" s="542"/>
      <c r="C985" s="8"/>
      <c r="D985" s="8"/>
      <c r="E985" s="236"/>
      <c r="F985" s="226"/>
      <c r="G985" s="226"/>
      <c r="H985" s="226"/>
      <c r="I985" s="237"/>
      <c r="J985" s="226"/>
    </row>
    <row r="986" spans="1:10" x14ac:dyDescent="0.35">
      <c r="A986" s="189"/>
      <c r="B986" s="542"/>
      <c r="C986" s="8"/>
      <c r="D986" s="8"/>
      <c r="E986" s="236"/>
      <c r="F986" s="226"/>
      <c r="G986" s="226"/>
      <c r="H986" s="226"/>
      <c r="I986" s="237"/>
      <c r="J986" s="226"/>
    </row>
    <row r="987" spans="1:10" x14ac:dyDescent="0.35">
      <c r="A987" s="189"/>
      <c r="B987" s="542"/>
      <c r="C987" s="8"/>
      <c r="D987" s="8"/>
      <c r="E987" s="236"/>
      <c r="F987" s="226"/>
      <c r="G987" s="226"/>
      <c r="H987" s="226"/>
      <c r="I987" s="237"/>
      <c r="J987" s="226"/>
    </row>
    <row r="988" spans="1:10" x14ac:dyDescent="0.35">
      <c r="A988" s="189"/>
      <c r="B988" s="542"/>
      <c r="C988" s="8"/>
      <c r="D988" s="8"/>
      <c r="E988" s="236"/>
      <c r="F988" s="226"/>
      <c r="G988" s="226"/>
      <c r="H988" s="226"/>
      <c r="I988" s="237"/>
      <c r="J988" s="226"/>
    </row>
    <row r="989" spans="1:10" x14ac:dyDescent="0.35">
      <c r="A989" s="189"/>
      <c r="B989" s="542"/>
      <c r="C989" s="8"/>
      <c r="D989" s="8"/>
      <c r="E989" s="236"/>
      <c r="F989" s="226"/>
      <c r="G989" s="226"/>
      <c r="H989" s="226"/>
      <c r="I989" s="237"/>
      <c r="J989" s="226"/>
    </row>
    <row r="990" spans="1:10" x14ac:dyDescent="0.35">
      <c r="A990" s="189"/>
      <c r="B990" s="542"/>
      <c r="C990" s="8"/>
      <c r="D990" s="8"/>
      <c r="E990" s="236"/>
      <c r="F990" s="226"/>
      <c r="G990" s="226"/>
      <c r="H990" s="226"/>
      <c r="I990" s="237"/>
      <c r="J990" s="226"/>
    </row>
    <row r="991" spans="1:10" x14ac:dyDescent="0.35">
      <c r="A991" s="189"/>
      <c r="B991" s="542"/>
      <c r="C991" s="8"/>
      <c r="D991" s="8"/>
      <c r="E991" s="236"/>
      <c r="F991" s="226"/>
      <c r="G991" s="226"/>
      <c r="H991" s="226"/>
      <c r="I991" s="237"/>
      <c r="J991" s="226"/>
    </row>
    <row r="992" spans="1:10" x14ac:dyDescent="0.35">
      <c r="A992" s="189"/>
      <c r="B992" s="542"/>
      <c r="C992" s="8"/>
      <c r="D992" s="8"/>
      <c r="E992" s="236"/>
      <c r="F992" s="226"/>
      <c r="G992" s="226"/>
      <c r="H992" s="226"/>
      <c r="I992" s="237"/>
      <c r="J992" s="226"/>
    </row>
    <row r="993" spans="1:10" x14ac:dyDescent="0.35">
      <c r="A993" s="189"/>
      <c r="B993" s="542"/>
      <c r="C993" s="8"/>
      <c r="D993" s="8"/>
      <c r="E993" s="236"/>
      <c r="F993" s="226"/>
      <c r="G993" s="226"/>
      <c r="H993" s="226"/>
      <c r="I993" s="237"/>
      <c r="J993" s="226"/>
    </row>
    <row r="994" spans="1:10" x14ac:dyDescent="0.35">
      <c r="A994" s="225"/>
      <c r="B994" s="545"/>
      <c r="C994" s="8"/>
      <c r="D994" s="8"/>
      <c r="E994" s="241"/>
      <c r="F994" s="227"/>
      <c r="G994" s="227"/>
      <c r="H994" s="227"/>
      <c r="I994" s="242"/>
      <c r="J994" s="226"/>
    </row>
    <row r="995" spans="1:10" x14ac:dyDescent="0.35">
      <c r="A995" s="189"/>
      <c r="B995" s="541"/>
      <c r="C995" s="8"/>
      <c r="D995" s="8"/>
      <c r="E995" s="236"/>
      <c r="F995" s="226"/>
      <c r="G995" s="226"/>
      <c r="H995" s="226"/>
      <c r="I995" s="237"/>
      <c r="J995" s="226"/>
    </row>
    <row r="996" spans="1:10" x14ac:dyDescent="0.35">
      <c r="A996" s="189"/>
      <c r="B996" s="542"/>
      <c r="C996" s="8"/>
      <c r="D996" s="8"/>
      <c r="E996" s="236"/>
      <c r="F996" s="226"/>
      <c r="G996" s="226"/>
      <c r="H996" s="226"/>
      <c r="I996" s="237"/>
      <c r="J996" s="226"/>
    </row>
    <row r="997" spans="1:10" x14ac:dyDescent="0.35">
      <c r="A997" s="189"/>
      <c r="B997" s="542"/>
      <c r="C997" s="8"/>
      <c r="D997" s="8"/>
      <c r="E997" s="236"/>
      <c r="F997" s="226"/>
      <c r="G997" s="226"/>
      <c r="H997" s="226"/>
      <c r="I997" s="237"/>
      <c r="J997" s="226"/>
    </row>
    <row r="998" spans="1:10" x14ac:dyDescent="0.35">
      <c r="A998" s="189"/>
      <c r="B998" s="542"/>
      <c r="C998" s="8"/>
      <c r="D998" s="8"/>
      <c r="E998" s="236"/>
      <c r="F998" s="226"/>
      <c r="G998" s="226"/>
      <c r="H998" s="226"/>
      <c r="I998" s="237"/>
      <c r="J998" s="226"/>
    </row>
    <row r="999" spans="1:10" x14ac:dyDescent="0.35">
      <c r="A999" s="189"/>
      <c r="B999" s="542"/>
      <c r="C999" s="8"/>
      <c r="D999" s="8"/>
      <c r="E999" s="236"/>
      <c r="F999" s="226"/>
      <c r="G999" s="226"/>
      <c r="H999" s="226"/>
      <c r="I999" s="237"/>
      <c r="J999" s="226"/>
    </row>
    <row r="1000" spans="1:10" x14ac:dyDescent="0.35">
      <c r="A1000" s="189"/>
      <c r="B1000" s="542"/>
      <c r="C1000" s="8"/>
      <c r="D1000" s="8"/>
      <c r="E1000" s="236"/>
      <c r="F1000" s="226"/>
      <c r="G1000" s="226"/>
      <c r="H1000" s="226"/>
      <c r="I1000" s="237"/>
      <c r="J1000" s="226"/>
    </row>
    <row r="1001" spans="1:10" x14ac:dyDescent="0.35">
      <c r="A1001" s="189"/>
      <c r="B1001" s="542"/>
      <c r="C1001" s="8"/>
      <c r="D1001" s="8"/>
      <c r="E1001" s="236"/>
      <c r="F1001" s="226"/>
      <c r="G1001" s="226"/>
      <c r="H1001" s="226"/>
      <c r="I1001" s="237"/>
      <c r="J1001" s="226"/>
    </row>
    <row r="1002" spans="1:10" x14ac:dyDescent="0.35">
      <c r="A1002" s="189"/>
      <c r="B1002" s="542"/>
      <c r="C1002" s="8"/>
      <c r="D1002" s="8"/>
      <c r="E1002" s="236"/>
      <c r="F1002" s="226"/>
      <c r="G1002" s="226"/>
      <c r="H1002" s="226"/>
      <c r="I1002" s="237"/>
      <c r="J1002" s="226"/>
    </row>
    <row r="1003" spans="1:10" x14ac:dyDescent="0.35">
      <c r="A1003" s="189"/>
      <c r="B1003" s="542"/>
      <c r="C1003" s="8"/>
      <c r="D1003" s="8"/>
      <c r="E1003" s="236"/>
      <c r="F1003" s="226"/>
      <c r="G1003" s="226"/>
      <c r="H1003" s="226"/>
      <c r="I1003" s="237"/>
      <c r="J1003" s="226"/>
    </row>
    <row r="1004" spans="1:10" x14ac:dyDescent="0.35">
      <c r="A1004" s="189"/>
      <c r="B1004" s="542"/>
      <c r="C1004" s="8"/>
      <c r="D1004" s="8"/>
      <c r="E1004" s="236"/>
      <c r="F1004" s="226"/>
      <c r="G1004" s="226"/>
      <c r="H1004" s="226"/>
      <c r="I1004" s="237"/>
      <c r="J1004" s="226"/>
    </row>
    <row r="1005" spans="1:10" x14ac:dyDescent="0.35">
      <c r="A1005" s="189"/>
      <c r="B1005" s="542"/>
      <c r="C1005" s="8"/>
      <c r="D1005" s="8"/>
      <c r="E1005" s="236"/>
      <c r="F1005" s="226"/>
      <c r="G1005" s="226"/>
      <c r="H1005" s="226"/>
      <c r="I1005" s="237"/>
      <c r="J1005" s="226"/>
    </row>
    <row r="1006" spans="1:10" x14ac:dyDescent="0.35">
      <c r="A1006" s="189"/>
      <c r="B1006" s="542"/>
      <c r="C1006" s="8"/>
      <c r="D1006" s="8"/>
      <c r="E1006" s="236"/>
      <c r="F1006" s="226"/>
      <c r="G1006" s="226"/>
      <c r="H1006" s="226"/>
      <c r="I1006" s="237"/>
      <c r="J1006" s="226"/>
    </row>
    <row r="1007" spans="1:10" x14ac:dyDescent="0.35">
      <c r="A1007" s="189"/>
      <c r="B1007" s="542"/>
      <c r="C1007" s="8"/>
      <c r="D1007" s="8"/>
      <c r="E1007" s="236"/>
      <c r="F1007" s="226"/>
      <c r="G1007" s="226"/>
      <c r="H1007" s="226"/>
      <c r="I1007" s="237"/>
      <c r="J1007" s="226"/>
    </row>
    <row r="1008" spans="1:10" x14ac:dyDescent="0.35">
      <c r="A1008" s="189"/>
      <c r="B1008" s="542"/>
      <c r="C1008" s="8"/>
      <c r="D1008" s="8"/>
      <c r="E1008" s="236"/>
      <c r="F1008" s="226"/>
      <c r="G1008" s="226"/>
      <c r="H1008" s="226"/>
      <c r="I1008" s="237"/>
      <c r="J1008" s="226"/>
    </row>
    <row r="1009" spans="1:10" x14ac:dyDescent="0.35">
      <c r="A1009" s="189"/>
      <c r="B1009" s="542"/>
      <c r="C1009" s="8"/>
      <c r="D1009" s="8"/>
      <c r="E1009" s="236"/>
      <c r="F1009" s="226"/>
      <c r="G1009" s="226"/>
      <c r="H1009" s="226"/>
      <c r="I1009" s="237"/>
      <c r="J1009" s="226"/>
    </row>
    <row r="1010" spans="1:10" x14ac:dyDescent="0.35">
      <c r="A1010" s="189"/>
      <c r="B1010" s="542"/>
      <c r="C1010" s="8"/>
      <c r="D1010" s="8"/>
      <c r="E1010" s="236"/>
      <c r="F1010" s="226"/>
      <c r="G1010" s="226"/>
      <c r="H1010" s="226"/>
      <c r="I1010" s="237"/>
      <c r="J1010" s="226"/>
    </row>
    <row r="1011" spans="1:10" x14ac:dyDescent="0.35">
      <c r="A1011" s="225"/>
      <c r="B1011" s="545"/>
      <c r="C1011" s="8"/>
      <c r="D1011" s="8"/>
      <c r="E1011" s="241"/>
      <c r="F1011" s="227"/>
      <c r="G1011" s="227"/>
      <c r="H1011" s="227"/>
      <c r="I1011" s="242"/>
      <c r="J1011" s="226"/>
    </row>
    <row r="1012" spans="1:10" x14ac:dyDescent="0.35">
      <c r="A1012" s="189"/>
      <c r="B1012" s="541"/>
      <c r="C1012" s="8"/>
      <c r="D1012" s="8"/>
      <c r="E1012" s="236"/>
      <c r="F1012" s="226"/>
      <c r="G1012" s="226"/>
      <c r="H1012" s="226"/>
      <c r="I1012" s="237"/>
      <c r="J1012" s="226"/>
    </row>
    <row r="1013" spans="1:10" x14ac:dyDescent="0.35">
      <c r="A1013" s="189"/>
      <c r="B1013" s="542"/>
      <c r="C1013" s="8"/>
      <c r="D1013" s="8"/>
      <c r="E1013" s="236"/>
      <c r="F1013" s="226"/>
      <c r="G1013" s="226"/>
      <c r="H1013" s="226"/>
      <c r="I1013" s="237"/>
      <c r="J1013" s="226"/>
    </row>
    <row r="1014" spans="1:10" x14ac:dyDescent="0.35">
      <c r="A1014" s="189"/>
      <c r="B1014" s="542"/>
      <c r="C1014" s="8"/>
      <c r="D1014" s="8"/>
      <c r="E1014" s="236"/>
      <c r="F1014" s="226"/>
      <c r="G1014" s="226"/>
      <c r="H1014" s="226"/>
      <c r="I1014" s="237"/>
      <c r="J1014" s="226"/>
    </row>
    <row r="1015" spans="1:10" x14ac:dyDescent="0.35">
      <c r="A1015" s="189"/>
      <c r="B1015" s="542"/>
      <c r="C1015" s="8"/>
      <c r="D1015" s="8"/>
      <c r="E1015" s="236"/>
      <c r="F1015" s="226"/>
      <c r="G1015" s="226"/>
      <c r="H1015" s="226"/>
      <c r="I1015" s="237"/>
      <c r="J1015" s="226"/>
    </row>
    <row r="1016" spans="1:10" x14ac:dyDescent="0.35">
      <c r="A1016" s="189"/>
      <c r="B1016" s="542"/>
      <c r="C1016" s="8"/>
      <c r="D1016" s="8"/>
      <c r="E1016" s="236"/>
      <c r="F1016" s="226"/>
      <c r="G1016" s="226"/>
      <c r="H1016" s="226"/>
      <c r="I1016" s="237"/>
      <c r="J1016" s="226"/>
    </row>
    <row r="1017" spans="1:10" x14ac:dyDescent="0.35">
      <c r="A1017" s="189"/>
      <c r="B1017" s="542"/>
      <c r="C1017" s="8"/>
      <c r="D1017" s="8"/>
      <c r="E1017" s="236"/>
      <c r="F1017" s="226"/>
      <c r="G1017" s="226"/>
      <c r="H1017" s="226"/>
      <c r="I1017" s="237"/>
      <c r="J1017" s="226"/>
    </row>
    <row r="1018" spans="1:10" x14ac:dyDescent="0.35">
      <c r="A1018" s="189"/>
      <c r="B1018" s="542"/>
      <c r="C1018" s="8"/>
      <c r="D1018" s="8"/>
      <c r="E1018" s="236"/>
      <c r="F1018" s="226"/>
      <c r="G1018" s="226"/>
      <c r="H1018" s="226"/>
      <c r="I1018" s="237"/>
      <c r="J1018" s="226"/>
    </row>
    <row r="1019" spans="1:10" x14ac:dyDescent="0.35">
      <c r="A1019" s="189"/>
      <c r="B1019" s="542"/>
      <c r="C1019" s="8"/>
      <c r="D1019" s="8"/>
      <c r="E1019" s="236"/>
      <c r="F1019" s="226"/>
      <c r="G1019" s="226"/>
      <c r="H1019" s="226"/>
      <c r="I1019" s="237"/>
      <c r="J1019" s="226"/>
    </row>
    <row r="1020" spans="1:10" x14ac:dyDescent="0.35">
      <c r="A1020" s="189"/>
      <c r="B1020" s="542"/>
      <c r="C1020" s="8"/>
      <c r="D1020" s="8"/>
      <c r="E1020" s="236"/>
      <c r="F1020" s="226"/>
      <c r="G1020" s="226"/>
      <c r="H1020" s="226"/>
      <c r="I1020" s="237"/>
      <c r="J1020" s="226"/>
    </row>
    <row r="1021" spans="1:10" x14ac:dyDescent="0.35">
      <c r="A1021" s="189"/>
      <c r="B1021" s="542"/>
      <c r="C1021" s="8"/>
      <c r="D1021" s="8"/>
      <c r="E1021" s="236"/>
      <c r="F1021" s="226"/>
      <c r="G1021" s="226"/>
      <c r="H1021" s="226"/>
      <c r="I1021" s="237"/>
      <c r="J1021" s="226"/>
    </row>
    <row r="1022" spans="1:10" x14ac:dyDescent="0.35">
      <c r="A1022" s="189"/>
      <c r="B1022" s="542"/>
      <c r="C1022" s="8"/>
      <c r="D1022" s="8"/>
      <c r="E1022" s="236"/>
      <c r="F1022" s="226"/>
      <c r="G1022" s="226"/>
      <c r="H1022" s="226"/>
      <c r="I1022" s="237"/>
      <c r="J1022" s="226"/>
    </row>
    <row r="1023" spans="1:10" x14ac:dyDescent="0.35">
      <c r="A1023" s="189"/>
      <c r="B1023" s="542"/>
      <c r="C1023" s="8"/>
      <c r="D1023" s="8"/>
      <c r="E1023" s="236"/>
      <c r="F1023" s="226"/>
      <c r="G1023" s="226"/>
      <c r="H1023" s="226"/>
      <c r="I1023" s="237"/>
      <c r="J1023" s="226"/>
    </row>
    <row r="1024" spans="1:10" x14ac:dyDescent="0.35">
      <c r="A1024" s="189"/>
      <c r="B1024" s="542"/>
      <c r="C1024" s="8"/>
      <c r="D1024" s="8"/>
      <c r="E1024" s="236"/>
      <c r="F1024" s="226"/>
      <c r="G1024" s="226"/>
      <c r="H1024" s="226"/>
      <c r="I1024" s="237"/>
      <c r="J1024" s="226"/>
    </row>
    <row r="1025" spans="1:10" x14ac:dyDescent="0.35">
      <c r="A1025" s="189"/>
      <c r="B1025" s="542"/>
      <c r="C1025" s="8"/>
      <c r="D1025" s="8"/>
      <c r="E1025" s="236"/>
      <c r="F1025" s="226"/>
      <c r="G1025" s="226"/>
      <c r="H1025" s="226"/>
      <c r="I1025" s="237"/>
      <c r="J1025" s="226"/>
    </row>
    <row r="1026" spans="1:10" x14ac:dyDescent="0.35">
      <c r="A1026" s="189"/>
      <c r="B1026" s="542"/>
      <c r="C1026" s="8"/>
      <c r="D1026" s="8"/>
      <c r="E1026" s="236"/>
      <c r="F1026" s="226"/>
      <c r="G1026" s="226"/>
      <c r="H1026" s="226"/>
      <c r="I1026" s="237"/>
      <c r="J1026" s="226"/>
    </row>
    <row r="1027" spans="1:10" x14ac:dyDescent="0.35">
      <c r="A1027" s="189"/>
      <c r="B1027" s="542"/>
      <c r="C1027" s="8"/>
      <c r="D1027" s="8"/>
      <c r="E1027" s="236"/>
      <c r="F1027" s="226"/>
      <c r="G1027" s="226"/>
      <c r="H1027" s="226"/>
      <c r="I1027" s="237"/>
      <c r="J1027" s="226"/>
    </row>
    <row r="1028" spans="1:10" x14ac:dyDescent="0.35">
      <c r="A1028" s="225"/>
      <c r="B1028" s="545"/>
      <c r="C1028" s="8"/>
      <c r="D1028" s="8"/>
      <c r="E1028" s="241"/>
      <c r="F1028" s="227"/>
      <c r="G1028" s="227"/>
      <c r="H1028" s="227"/>
      <c r="I1028" s="242"/>
      <c r="J1028" s="226"/>
    </row>
    <row r="1029" spans="1:10" x14ac:dyDescent="0.35">
      <c r="A1029" s="189"/>
      <c r="B1029" s="541"/>
      <c r="C1029" s="8"/>
      <c r="D1029" s="8"/>
      <c r="E1029" s="236"/>
      <c r="F1029" s="226"/>
      <c r="G1029" s="226"/>
      <c r="H1029" s="226"/>
      <c r="I1029" s="237"/>
      <c r="J1029" s="226"/>
    </row>
    <row r="1030" spans="1:10" x14ac:dyDescent="0.35">
      <c r="A1030" s="189"/>
      <c r="B1030" s="542"/>
      <c r="C1030" s="8"/>
      <c r="D1030" s="8"/>
      <c r="E1030" s="236"/>
      <c r="F1030" s="226"/>
      <c r="G1030" s="226"/>
      <c r="H1030" s="226"/>
      <c r="I1030" s="237"/>
      <c r="J1030" s="226"/>
    </row>
    <row r="1031" spans="1:10" x14ac:dyDescent="0.35">
      <c r="A1031" s="189"/>
      <c r="B1031" s="542"/>
      <c r="C1031" s="8"/>
      <c r="D1031" s="8"/>
      <c r="E1031" s="236"/>
      <c r="F1031" s="226"/>
      <c r="G1031" s="226"/>
      <c r="H1031" s="226"/>
      <c r="I1031" s="237"/>
      <c r="J1031" s="226"/>
    </row>
    <row r="1032" spans="1:10" x14ac:dyDescent="0.35">
      <c r="A1032" s="189"/>
      <c r="B1032" s="542"/>
      <c r="C1032" s="8"/>
      <c r="D1032" s="8"/>
      <c r="E1032" s="236"/>
      <c r="F1032" s="226"/>
      <c r="G1032" s="226"/>
      <c r="H1032" s="226"/>
      <c r="I1032" s="237"/>
      <c r="J1032" s="226"/>
    </row>
    <row r="1033" spans="1:10" x14ac:dyDescent="0.35">
      <c r="A1033" s="189"/>
      <c r="B1033" s="542"/>
      <c r="C1033" s="8"/>
      <c r="D1033" s="8"/>
      <c r="E1033" s="236"/>
      <c r="F1033" s="226"/>
      <c r="G1033" s="226"/>
      <c r="H1033" s="226"/>
      <c r="I1033" s="237"/>
      <c r="J1033" s="226"/>
    </row>
    <row r="1034" spans="1:10" x14ac:dyDescent="0.35">
      <c r="A1034" s="189"/>
      <c r="B1034" s="542"/>
      <c r="C1034" s="8"/>
      <c r="D1034" s="8"/>
      <c r="E1034" s="236"/>
      <c r="F1034" s="226"/>
      <c r="G1034" s="226"/>
      <c r="H1034" s="226"/>
      <c r="I1034" s="237"/>
      <c r="J1034" s="226"/>
    </row>
    <row r="1035" spans="1:10" x14ac:dyDescent="0.35">
      <c r="A1035" s="189"/>
      <c r="B1035" s="542"/>
      <c r="C1035" s="8"/>
      <c r="D1035" s="8"/>
      <c r="E1035" s="236"/>
      <c r="F1035" s="226"/>
      <c r="G1035" s="226"/>
      <c r="H1035" s="226"/>
      <c r="I1035" s="237"/>
      <c r="J1035" s="226"/>
    </row>
    <row r="1036" spans="1:10" x14ac:dyDescent="0.35">
      <c r="A1036" s="189"/>
      <c r="B1036" s="542"/>
      <c r="C1036" s="8"/>
      <c r="D1036" s="8"/>
      <c r="E1036" s="236"/>
      <c r="F1036" s="226"/>
      <c r="G1036" s="226"/>
      <c r="H1036" s="226"/>
      <c r="I1036" s="237"/>
      <c r="J1036" s="226"/>
    </row>
    <row r="1037" spans="1:10" x14ac:dyDescent="0.35">
      <c r="A1037" s="189"/>
      <c r="B1037" s="542"/>
      <c r="C1037" s="8"/>
      <c r="D1037" s="8"/>
      <c r="E1037" s="236"/>
      <c r="F1037" s="226"/>
      <c r="G1037" s="226"/>
      <c r="H1037" s="226"/>
      <c r="I1037" s="237"/>
      <c r="J1037" s="226"/>
    </row>
    <row r="1038" spans="1:10" x14ac:dyDescent="0.35">
      <c r="A1038" s="189"/>
      <c r="B1038" s="542"/>
      <c r="C1038" s="8"/>
      <c r="D1038" s="8"/>
      <c r="E1038" s="236"/>
      <c r="F1038" s="226"/>
      <c r="G1038" s="226"/>
      <c r="H1038" s="226"/>
      <c r="I1038" s="237"/>
      <c r="J1038" s="226"/>
    </row>
    <row r="1039" spans="1:10" x14ac:dyDescent="0.35">
      <c r="A1039" s="189"/>
      <c r="B1039" s="542"/>
      <c r="C1039" s="8"/>
      <c r="D1039" s="8"/>
      <c r="E1039" s="236"/>
      <c r="F1039" s="226"/>
      <c r="G1039" s="226"/>
      <c r="H1039" s="226"/>
      <c r="I1039" s="237"/>
      <c r="J1039" s="226"/>
    </row>
    <row r="1040" spans="1:10" x14ac:dyDescent="0.35">
      <c r="A1040" s="189"/>
      <c r="B1040" s="542"/>
      <c r="C1040" s="8"/>
      <c r="D1040" s="8"/>
      <c r="E1040" s="236"/>
      <c r="F1040" s="226"/>
      <c r="G1040" s="226"/>
      <c r="H1040" s="226"/>
      <c r="I1040" s="237"/>
      <c r="J1040" s="226"/>
    </row>
    <row r="1041" spans="1:10" x14ac:dyDescent="0.35">
      <c r="A1041" s="189"/>
      <c r="B1041" s="542"/>
      <c r="C1041" s="8"/>
      <c r="D1041" s="8"/>
      <c r="E1041" s="236"/>
      <c r="F1041" s="226"/>
      <c r="G1041" s="226"/>
      <c r="H1041" s="226"/>
      <c r="I1041" s="237"/>
      <c r="J1041" s="226"/>
    </row>
    <row r="1042" spans="1:10" x14ac:dyDescent="0.35">
      <c r="A1042" s="189"/>
      <c r="B1042" s="542"/>
      <c r="C1042" s="8"/>
      <c r="D1042" s="8"/>
      <c r="E1042" s="236"/>
      <c r="F1042" s="226"/>
      <c r="G1042" s="226"/>
      <c r="H1042" s="226"/>
      <c r="I1042" s="237"/>
      <c r="J1042" s="226"/>
    </row>
    <row r="1043" spans="1:10" x14ac:dyDescent="0.35">
      <c r="A1043" s="189"/>
      <c r="B1043" s="542"/>
      <c r="C1043" s="8"/>
      <c r="D1043" s="8"/>
      <c r="E1043" s="236"/>
      <c r="F1043" s="226"/>
      <c r="G1043" s="226"/>
      <c r="H1043" s="226"/>
      <c r="I1043" s="237"/>
      <c r="J1043" s="226"/>
    </row>
    <row r="1044" spans="1:10" x14ac:dyDescent="0.35">
      <c r="A1044" s="189"/>
      <c r="B1044" s="542"/>
      <c r="C1044" s="8"/>
      <c r="D1044" s="8"/>
      <c r="E1044" s="236"/>
      <c r="F1044" s="226"/>
      <c r="G1044" s="226"/>
      <c r="H1044" s="226"/>
      <c r="I1044" s="237"/>
      <c r="J1044" s="226"/>
    </row>
    <row r="1045" spans="1:10" x14ac:dyDescent="0.35">
      <c r="A1045" s="225"/>
      <c r="B1045" s="545"/>
      <c r="C1045" s="8"/>
      <c r="D1045" s="8"/>
      <c r="E1045" s="241"/>
      <c r="F1045" s="227"/>
      <c r="G1045" s="227"/>
      <c r="H1045" s="227"/>
      <c r="I1045" s="242"/>
      <c r="J1045" s="226"/>
    </row>
    <row r="1046" spans="1:10" x14ac:dyDescent="0.35">
      <c r="A1046" s="189"/>
      <c r="B1046" s="541"/>
      <c r="C1046" s="8"/>
      <c r="D1046" s="8"/>
      <c r="E1046" s="236"/>
      <c r="F1046" s="226"/>
      <c r="G1046" s="226"/>
      <c r="H1046" s="226"/>
      <c r="I1046" s="237"/>
      <c r="J1046" s="226"/>
    </row>
    <row r="1047" spans="1:10" x14ac:dyDescent="0.35">
      <c r="A1047" s="189"/>
      <c r="B1047" s="542"/>
      <c r="C1047" s="8"/>
      <c r="D1047" s="8"/>
      <c r="E1047" s="236"/>
      <c r="F1047" s="226"/>
      <c r="G1047" s="226"/>
      <c r="H1047" s="226"/>
      <c r="I1047" s="237"/>
      <c r="J1047" s="226"/>
    </row>
    <row r="1048" spans="1:10" x14ac:dyDescent="0.35">
      <c r="A1048" s="189"/>
      <c r="B1048" s="542"/>
      <c r="C1048" s="8"/>
      <c r="D1048" s="8"/>
      <c r="E1048" s="236"/>
      <c r="F1048" s="226"/>
      <c r="G1048" s="226"/>
      <c r="H1048" s="226"/>
      <c r="I1048" s="237"/>
      <c r="J1048" s="226"/>
    </row>
    <row r="1049" spans="1:10" x14ac:dyDescent="0.35">
      <c r="A1049" s="189"/>
      <c r="B1049" s="542"/>
      <c r="C1049" s="8"/>
      <c r="D1049" s="8"/>
      <c r="E1049" s="236"/>
      <c r="F1049" s="226"/>
      <c r="G1049" s="226"/>
      <c r="H1049" s="226"/>
      <c r="I1049" s="237"/>
      <c r="J1049" s="226"/>
    </row>
    <row r="1050" spans="1:10" x14ac:dyDescent="0.35">
      <c r="A1050" s="189"/>
      <c r="B1050" s="542"/>
      <c r="C1050" s="8"/>
      <c r="D1050" s="8"/>
      <c r="E1050" s="236"/>
      <c r="F1050" s="226"/>
      <c r="G1050" s="226"/>
      <c r="H1050" s="226"/>
      <c r="I1050" s="237"/>
      <c r="J1050" s="226"/>
    </row>
    <row r="1051" spans="1:10" x14ac:dyDescent="0.35">
      <c r="A1051" s="189"/>
      <c r="B1051" s="542"/>
      <c r="C1051" s="8"/>
      <c r="D1051" s="8"/>
      <c r="E1051" s="236"/>
      <c r="F1051" s="226"/>
      <c r="G1051" s="226"/>
      <c r="H1051" s="226"/>
      <c r="I1051" s="237"/>
      <c r="J1051" s="226"/>
    </row>
    <row r="1052" spans="1:10" x14ac:dyDescent="0.35">
      <c r="A1052" s="189"/>
      <c r="B1052" s="542"/>
      <c r="C1052" s="8"/>
      <c r="D1052" s="8"/>
      <c r="E1052" s="236"/>
      <c r="F1052" s="226"/>
      <c r="G1052" s="226"/>
      <c r="H1052" s="226"/>
      <c r="I1052" s="237"/>
      <c r="J1052" s="226"/>
    </row>
    <row r="1053" spans="1:10" x14ac:dyDescent="0.35">
      <c r="A1053" s="189"/>
      <c r="B1053" s="542"/>
      <c r="C1053" s="8"/>
      <c r="D1053" s="8"/>
      <c r="E1053" s="236"/>
      <c r="F1053" s="226"/>
      <c r="G1053" s="226"/>
      <c r="H1053" s="226"/>
      <c r="I1053" s="237"/>
      <c r="J1053" s="226"/>
    </row>
    <row r="1054" spans="1:10" x14ac:dyDescent="0.35">
      <c r="A1054" s="189"/>
      <c r="B1054" s="542"/>
      <c r="C1054" s="8"/>
      <c r="D1054" s="8"/>
      <c r="E1054" s="236"/>
      <c r="F1054" s="226"/>
      <c r="G1054" s="226"/>
      <c r="H1054" s="226"/>
      <c r="I1054" s="237"/>
      <c r="J1054" s="226"/>
    </row>
    <row r="1055" spans="1:10" x14ac:dyDescent="0.35">
      <c r="A1055" s="189"/>
      <c r="B1055" s="542"/>
      <c r="C1055" s="8"/>
      <c r="D1055" s="8"/>
      <c r="E1055" s="236"/>
      <c r="F1055" s="226"/>
      <c r="G1055" s="226"/>
      <c r="H1055" s="226"/>
      <c r="I1055" s="237"/>
      <c r="J1055" s="226"/>
    </row>
    <row r="1056" spans="1:10" x14ac:dyDescent="0.35">
      <c r="A1056" s="189"/>
      <c r="B1056" s="542"/>
      <c r="C1056" s="8"/>
      <c r="D1056" s="8"/>
      <c r="E1056" s="236"/>
      <c r="F1056" s="226"/>
      <c r="G1056" s="226"/>
      <c r="H1056" s="226"/>
      <c r="I1056" s="237"/>
      <c r="J1056" s="226"/>
    </row>
    <row r="1057" spans="1:10" x14ac:dyDescent="0.35">
      <c r="A1057" s="189"/>
      <c r="B1057" s="542"/>
      <c r="C1057" s="8"/>
      <c r="D1057" s="8"/>
      <c r="E1057" s="236"/>
      <c r="F1057" s="226"/>
      <c r="G1057" s="226"/>
      <c r="H1057" s="226"/>
      <c r="I1057" s="237"/>
      <c r="J1057" s="226"/>
    </row>
    <row r="1058" spans="1:10" x14ac:dyDescent="0.35">
      <c r="A1058" s="189"/>
      <c r="B1058" s="542"/>
      <c r="C1058" s="8"/>
      <c r="D1058" s="8"/>
      <c r="E1058" s="236"/>
      <c r="F1058" s="226"/>
      <c r="G1058" s="226"/>
      <c r="H1058" s="226"/>
      <c r="I1058" s="237"/>
      <c r="J1058" s="226"/>
    </row>
    <row r="1059" spans="1:10" x14ac:dyDescent="0.35">
      <c r="A1059" s="189"/>
      <c r="B1059" s="542"/>
      <c r="C1059" s="8"/>
      <c r="D1059" s="8"/>
      <c r="E1059" s="236"/>
      <c r="F1059" s="226"/>
      <c r="G1059" s="226"/>
      <c r="H1059" s="226"/>
      <c r="I1059" s="237"/>
      <c r="J1059" s="226"/>
    </row>
    <row r="1060" spans="1:10" x14ac:dyDescent="0.35">
      <c r="A1060" s="189"/>
      <c r="B1060" s="542"/>
      <c r="C1060" s="8"/>
      <c r="D1060" s="8"/>
      <c r="E1060" s="236"/>
      <c r="F1060" s="226"/>
      <c r="G1060" s="226"/>
      <c r="H1060" s="226"/>
      <c r="I1060" s="237"/>
      <c r="J1060" s="226"/>
    </row>
    <row r="1061" spans="1:10" x14ac:dyDescent="0.35">
      <c r="A1061" s="189"/>
      <c r="B1061" s="542"/>
      <c r="C1061" s="8"/>
      <c r="D1061" s="8"/>
      <c r="E1061" s="236"/>
      <c r="F1061" s="226"/>
      <c r="G1061" s="226"/>
      <c r="H1061" s="226"/>
      <c r="I1061" s="237"/>
      <c r="J1061" s="226"/>
    </row>
    <row r="1062" spans="1:10" x14ac:dyDescent="0.35">
      <c r="A1062" s="225"/>
      <c r="B1062" s="545"/>
      <c r="C1062" s="8"/>
      <c r="D1062" s="8"/>
      <c r="E1062" s="241"/>
      <c r="F1062" s="227"/>
      <c r="G1062" s="227"/>
      <c r="H1062" s="227"/>
      <c r="I1062" s="242"/>
      <c r="J1062" s="226"/>
    </row>
    <row r="1063" spans="1:10" x14ac:dyDescent="0.35">
      <c r="A1063" s="189"/>
      <c r="B1063" s="541"/>
      <c r="C1063" s="8"/>
      <c r="D1063" s="8"/>
      <c r="E1063" s="236"/>
      <c r="F1063" s="226"/>
      <c r="G1063" s="226"/>
      <c r="H1063" s="226"/>
      <c r="I1063" s="237"/>
      <c r="J1063" s="226"/>
    </row>
    <row r="1064" spans="1:10" x14ac:dyDescent="0.35">
      <c r="A1064" s="189"/>
      <c r="B1064" s="542"/>
      <c r="C1064" s="8"/>
      <c r="D1064" s="8"/>
      <c r="E1064" s="236"/>
      <c r="F1064" s="226"/>
      <c r="G1064" s="226"/>
      <c r="H1064" s="226"/>
      <c r="I1064" s="237"/>
      <c r="J1064" s="226"/>
    </row>
    <row r="1065" spans="1:10" x14ac:dyDescent="0.35">
      <c r="A1065" s="189"/>
      <c r="B1065" s="542"/>
      <c r="C1065" s="8"/>
      <c r="D1065" s="8"/>
      <c r="E1065" s="236"/>
      <c r="F1065" s="226"/>
      <c r="G1065" s="226"/>
      <c r="H1065" s="226"/>
      <c r="I1065" s="237"/>
      <c r="J1065" s="226"/>
    </row>
    <row r="1066" spans="1:10" x14ac:dyDescent="0.35">
      <c r="A1066" s="189"/>
      <c r="B1066" s="542"/>
      <c r="C1066" s="8"/>
      <c r="D1066" s="8"/>
      <c r="E1066" s="236"/>
      <c r="F1066" s="226"/>
      <c r="G1066" s="226"/>
      <c r="H1066" s="226"/>
      <c r="I1066" s="237"/>
      <c r="J1066" s="226"/>
    </row>
    <row r="1067" spans="1:10" x14ac:dyDescent="0.35">
      <c r="A1067" s="189"/>
      <c r="B1067" s="542"/>
      <c r="C1067" s="8"/>
      <c r="D1067" s="8"/>
      <c r="E1067" s="236"/>
      <c r="F1067" s="226"/>
      <c r="G1067" s="226"/>
      <c r="H1067" s="226"/>
      <c r="I1067" s="237"/>
      <c r="J1067" s="226"/>
    </row>
    <row r="1068" spans="1:10" x14ac:dyDescent="0.35">
      <c r="A1068" s="189"/>
      <c r="B1068" s="542"/>
      <c r="C1068" s="8"/>
      <c r="D1068" s="8"/>
      <c r="E1068" s="236"/>
      <c r="F1068" s="226"/>
      <c r="G1068" s="226"/>
      <c r="H1068" s="226"/>
      <c r="I1068" s="237"/>
      <c r="J1068" s="226"/>
    </row>
    <row r="1069" spans="1:10" x14ac:dyDescent="0.35">
      <c r="A1069" s="189"/>
      <c r="B1069" s="542"/>
      <c r="C1069" s="8"/>
      <c r="D1069" s="8"/>
      <c r="E1069" s="236"/>
      <c r="F1069" s="226"/>
      <c r="G1069" s="226"/>
      <c r="H1069" s="226"/>
      <c r="I1069" s="237"/>
      <c r="J1069" s="226"/>
    </row>
    <row r="1070" spans="1:10" x14ac:dyDescent="0.35">
      <c r="A1070" s="189"/>
      <c r="B1070" s="542"/>
      <c r="C1070" s="8"/>
      <c r="D1070" s="8"/>
      <c r="E1070" s="236"/>
      <c r="F1070" s="226"/>
      <c r="G1070" s="226"/>
      <c r="H1070" s="226"/>
      <c r="I1070" s="237"/>
      <c r="J1070" s="226"/>
    </row>
    <row r="1071" spans="1:10" x14ac:dyDescent="0.35">
      <c r="A1071" s="189"/>
      <c r="B1071" s="542"/>
      <c r="C1071" s="8"/>
      <c r="D1071" s="8"/>
      <c r="E1071" s="236"/>
      <c r="F1071" s="226"/>
      <c r="G1071" s="226"/>
      <c r="H1071" s="226"/>
      <c r="I1071" s="237"/>
      <c r="J1071" s="226"/>
    </row>
    <row r="1072" spans="1:10" x14ac:dyDescent="0.35">
      <c r="A1072" s="189"/>
      <c r="B1072" s="542"/>
      <c r="C1072" s="8"/>
      <c r="D1072" s="8"/>
      <c r="E1072" s="236"/>
      <c r="F1072" s="226"/>
      <c r="G1072" s="226"/>
      <c r="H1072" s="226"/>
      <c r="I1072" s="237"/>
      <c r="J1072" s="226"/>
    </row>
    <row r="1073" spans="1:10" x14ac:dyDescent="0.35">
      <c r="A1073" s="189"/>
      <c r="B1073" s="542"/>
      <c r="C1073" s="8"/>
      <c r="D1073" s="8"/>
      <c r="E1073" s="236"/>
      <c r="F1073" s="226"/>
      <c r="G1073" s="226"/>
      <c r="H1073" s="226"/>
      <c r="I1073" s="237"/>
      <c r="J1073" s="226"/>
    </row>
    <row r="1074" spans="1:10" x14ac:dyDescent="0.35">
      <c r="A1074" s="189"/>
      <c r="B1074" s="542"/>
      <c r="C1074" s="8"/>
      <c r="D1074" s="8"/>
      <c r="E1074" s="236"/>
      <c r="F1074" s="226"/>
      <c r="G1074" s="226"/>
      <c r="H1074" s="226"/>
      <c r="I1074" s="237"/>
      <c r="J1074" s="226"/>
    </row>
    <row r="1075" spans="1:10" x14ac:dyDescent="0.35">
      <c r="A1075" s="189"/>
      <c r="B1075" s="542"/>
      <c r="C1075" s="8"/>
      <c r="D1075" s="8"/>
      <c r="E1075" s="236"/>
      <c r="F1075" s="226"/>
      <c r="G1075" s="226"/>
      <c r="H1075" s="226"/>
      <c r="I1075" s="237"/>
      <c r="J1075" s="226"/>
    </row>
    <row r="1076" spans="1:10" x14ac:dyDescent="0.35">
      <c r="A1076" s="189"/>
      <c r="B1076" s="542"/>
      <c r="C1076" s="8"/>
      <c r="D1076" s="8"/>
      <c r="E1076" s="236"/>
      <c r="F1076" s="226"/>
      <c r="G1076" s="226"/>
      <c r="H1076" s="226"/>
      <c r="I1076" s="237"/>
      <c r="J1076" s="226"/>
    </row>
    <row r="1077" spans="1:10" x14ac:dyDescent="0.35">
      <c r="A1077" s="189"/>
      <c r="B1077" s="542"/>
      <c r="C1077" s="8"/>
      <c r="D1077" s="8"/>
      <c r="E1077" s="236"/>
      <c r="F1077" s="226"/>
      <c r="G1077" s="226"/>
      <c r="H1077" s="226"/>
      <c r="I1077" s="237"/>
      <c r="J1077" s="226"/>
    </row>
    <row r="1078" spans="1:10" x14ac:dyDescent="0.35">
      <c r="A1078" s="189"/>
      <c r="B1078" s="542"/>
      <c r="C1078" s="8"/>
      <c r="D1078" s="8"/>
      <c r="E1078" s="236"/>
      <c r="F1078" s="226"/>
      <c r="G1078" s="226"/>
      <c r="H1078" s="226"/>
      <c r="I1078" s="237"/>
      <c r="J1078" s="226"/>
    </row>
    <row r="1079" spans="1:10" x14ac:dyDescent="0.35">
      <c r="A1079" s="225"/>
      <c r="B1079" s="545"/>
      <c r="C1079" s="8"/>
      <c r="D1079" s="8"/>
      <c r="E1079" s="241"/>
      <c r="F1079" s="227"/>
      <c r="G1079" s="227"/>
      <c r="H1079" s="227"/>
      <c r="I1079" s="242"/>
      <c r="J1079" s="226"/>
    </row>
    <row r="1080" spans="1:10" x14ac:dyDescent="0.35">
      <c r="A1080" s="189"/>
      <c r="B1080" s="541"/>
      <c r="C1080" s="8"/>
      <c r="D1080" s="8"/>
      <c r="E1080" s="236"/>
      <c r="F1080" s="226"/>
      <c r="G1080" s="226"/>
      <c r="H1080" s="226"/>
      <c r="I1080" s="237"/>
      <c r="J1080" s="226"/>
    </row>
    <row r="1081" spans="1:10" x14ac:dyDescent="0.35">
      <c r="A1081" s="189"/>
      <c r="B1081" s="542"/>
      <c r="C1081" s="8"/>
      <c r="D1081" s="8"/>
      <c r="E1081" s="236"/>
      <c r="F1081" s="226"/>
      <c r="G1081" s="226"/>
      <c r="H1081" s="226"/>
      <c r="I1081" s="237"/>
      <c r="J1081" s="226"/>
    </row>
    <row r="1082" spans="1:10" x14ac:dyDescent="0.35">
      <c r="A1082" s="189"/>
      <c r="B1082" s="542"/>
      <c r="C1082" s="8"/>
      <c r="D1082" s="8"/>
      <c r="E1082" s="236"/>
      <c r="F1082" s="226"/>
      <c r="G1082" s="226"/>
      <c r="H1082" s="226"/>
      <c r="I1082" s="237"/>
      <c r="J1082" s="226"/>
    </row>
    <row r="1083" spans="1:10" x14ac:dyDescent="0.35">
      <c r="A1083" s="189"/>
      <c r="B1083" s="542"/>
      <c r="C1083" s="8"/>
      <c r="D1083" s="8"/>
      <c r="E1083" s="236"/>
      <c r="F1083" s="226"/>
      <c r="G1083" s="226"/>
      <c r="H1083" s="226"/>
      <c r="I1083" s="237"/>
      <c r="J1083" s="226"/>
    </row>
    <row r="1084" spans="1:10" x14ac:dyDescent="0.35">
      <c r="A1084" s="189"/>
      <c r="B1084" s="542"/>
      <c r="C1084" s="8"/>
      <c r="D1084" s="8"/>
      <c r="E1084" s="236"/>
      <c r="F1084" s="226"/>
      <c r="G1084" s="226"/>
      <c r="H1084" s="226"/>
      <c r="I1084" s="237"/>
      <c r="J1084" s="226"/>
    </row>
    <row r="1085" spans="1:10" x14ac:dyDescent="0.35">
      <c r="A1085" s="189"/>
      <c r="B1085" s="542"/>
      <c r="C1085" s="8"/>
      <c r="D1085" s="8"/>
      <c r="E1085" s="236"/>
      <c r="F1085" s="226"/>
      <c r="G1085" s="226"/>
      <c r="H1085" s="226"/>
      <c r="I1085" s="237"/>
      <c r="J1085" s="226"/>
    </row>
    <row r="1086" spans="1:10" x14ac:dyDescent="0.35">
      <c r="A1086" s="189"/>
      <c r="B1086" s="542"/>
      <c r="C1086" s="8"/>
      <c r="D1086" s="8"/>
      <c r="E1086" s="236"/>
      <c r="F1086" s="226"/>
      <c r="G1086" s="226"/>
      <c r="H1086" s="226"/>
      <c r="I1086" s="237"/>
      <c r="J1086" s="226"/>
    </row>
    <row r="1087" spans="1:10" x14ac:dyDescent="0.35">
      <c r="A1087" s="189"/>
      <c r="B1087" s="542"/>
      <c r="C1087" s="8"/>
      <c r="D1087" s="8"/>
      <c r="E1087" s="236"/>
      <c r="F1087" s="226"/>
      <c r="G1087" s="226"/>
      <c r="H1087" s="226"/>
      <c r="I1087" s="237"/>
      <c r="J1087" s="226"/>
    </row>
    <row r="1088" spans="1:10" x14ac:dyDescent="0.35">
      <c r="A1088" s="189"/>
      <c r="B1088" s="542"/>
      <c r="C1088" s="8"/>
      <c r="D1088" s="8"/>
      <c r="E1088" s="236"/>
      <c r="F1088" s="226"/>
      <c r="G1088" s="226"/>
      <c r="H1088" s="226"/>
      <c r="I1088" s="237"/>
      <c r="J1088" s="226"/>
    </row>
    <row r="1089" spans="1:10" x14ac:dyDescent="0.35">
      <c r="A1089" s="189"/>
      <c r="B1089" s="542"/>
      <c r="C1089" s="8"/>
      <c r="D1089" s="8"/>
      <c r="E1089" s="236"/>
      <c r="F1089" s="226"/>
      <c r="G1089" s="226"/>
      <c r="H1089" s="226"/>
      <c r="I1089" s="237"/>
      <c r="J1089" s="226"/>
    </row>
    <row r="1090" spans="1:10" x14ac:dyDescent="0.35">
      <c r="A1090" s="189"/>
      <c r="B1090" s="542"/>
      <c r="C1090" s="8"/>
      <c r="D1090" s="8"/>
      <c r="E1090" s="236"/>
      <c r="F1090" s="226"/>
      <c r="G1090" s="226"/>
      <c r="H1090" s="226"/>
      <c r="I1090" s="237"/>
      <c r="J1090" s="226"/>
    </row>
    <row r="1091" spans="1:10" x14ac:dyDescent="0.35">
      <c r="A1091" s="189"/>
      <c r="B1091" s="542"/>
      <c r="C1091" s="8"/>
      <c r="D1091" s="8"/>
      <c r="E1091" s="236"/>
      <c r="F1091" s="226"/>
      <c r="G1091" s="226"/>
      <c r="H1091" s="226"/>
      <c r="I1091" s="237"/>
      <c r="J1091" s="226"/>
    </row>
    <row r="1092" spans="1:10" x14ac:dyDescent="0.35">
      <c r="A1092" s="189"/>
      <c r="B1092" s="542"/>
      <c r="C1092" s="8"/>
      <c r="D1092" s="8"/>
      <c r="E1092" s="236"/>
      <c r="F1092" s="226"/>
      <c r="G1092" s="226"/>
      <c r="H1092" s="226"/>
      <c r="I1092" s="237"/>
      <c r="J1092" s="226"/>
    </row>
    <row r="1093" spans="1:10" x14ac:dyDescent="0.35">
      <c r="A1093" s="189"/>
      <c r="B1093" s="542"/>
      <c r="C1093" s="8"/>
      <c r="D1093" s="8"/>
      <c r="E1093" s="236"/>
      <c r="F1093" s="226"/>
      <c r="G1093" s="226"/>
      <c r="H1093" s="226"/>
      <c r="I1093" s="237"/>
      <c r="J1093" s="226"/>
    </row>
    <row r="1094" spans="1:10" x14ac:dyDescent="0.35">
      <c r="A1094" s="189"/>
      <c r="B1094" s="542"/>
      <c r="C1094" s="8"/>
      <c r="D1094" s="8"/>
      <c r="E1094" s="236"/>
      <c r="F1094" s="226"/>
      <c r="G1094" s="226"/>
      <c r="H1094" s="226"/>
      <c r="I1094" s="237"/>
      <c r="J1094" s="226"/>
    </row>
    <row r="1095" spans="1:10" x14ac:dyDescent="0.35">
      <c r="A1095" s="189"/>
      <c r="B1095" s="542"/>
      <c r="C1095" s="8"/>
      <c r="D1095" s="8"/>
      <c r="E1095" s="236"/>
      <c r="F1095" s="226"/>
      <c r="G1095" s="226"/>
      <c r="H1095" s="226"/>
      <c r="I1095" s="237"/>
      <c r="J1095" s="226"/>
    </row>
    <row r="1096" spans="1:10" x14ac:dyDescent="0.35">
      <c r="A1096" s="225"/>
      <c r="B1096" s="545"/>
      <c r="C1096" s="8"/>
      <c r="D1096" s="8"/>
      <c r="E1096" s="241"/>
      <c r="F1096" s="227"/>
      <c r="G1096" s="227"/>
      <c r="H1096" s="227"/>
      <c r="I1096" s="242"/>
      <c r="J1096" s="227"/>
    </row>
  </sheetData>
  <sheetProtection algorithmName="SHA-512" hashValue="d9bwwu99pDWfIG48i6tQjhRFyAaC4vx4LevnhkdFV8+LIePoPm3J5tKbQi4hQecixH3GFp+tkZs15u8flQCf8Q==" saltValue="Iq6V8APAZYuDXb0Bv3Pv7g==" spinCount="100000" sheet="1" insertRows="0"/>
  <dataValidations xWindow="427" yWindow="393" count="6">
    <dataValidation type="whole" allowBlank="1" showInputMessage="1" showErrorMessage="1" promptTitle="Sex Band Codes" prompt="1: Female_x000a_2: Male" sqref="D9:D1096" xr:uid="{48148E6B-3D8F-444A-8DD0-306AA03BDA5F}">
      <formula1>1</formula1>
      <formula2>2</formula2>
    </dataValidation>
    <dataValidation type="whole" allowBlank="1" showInputMessage="1" showErrorMessage="1" promptTitle="Age Band Code" prompt="1: 0 to 1 year old_x000a_2: 2 to 18 year old_x000a_3: 19 to 39 year old_x000a_4: 40 to 54 year old_x000a_5: 55 to 64 year old_x000a_6: 65 to 74 year old_x000a_7: 75 to 84 year old_x000a_8: 85+ year old" sqref="C9:C1096" xr:uid="{7450A478-D7AB-48F0-B9C2-CE29D186AF7A}">
      <formula1>1</formula1>
      <formula2>8</formula2>
    </dataValidation>
    <dataValidation type="whole" operator="greaterThanOrEqual" allowBlank="1" showInputMessage="1" showErrorMessage="1" error="See &quot;Definitions&quot; tab.  No negative values." promptTitle="Total Spending before Truncation" prompt="See &quot;Definitions&quot; tab.  No negative values." sqref="F9:F1096" xr:uid="{B1E52BB4-2198-4815-BE64-3BCB9F53BB17}">
      <formula1>0</formula1>
    </dataValidation>
    <dataValidation type="whole" operator="greaterThanOrEqual" allowBlank="1" showInputMessage="1" showErrorMessage="1" error="The number of unique Rhode Island resident members for the age/sex cell participating in a plan each month with a medical benefit, regardless of whether the member has any paid claims.  See &quot;Definitions&quot; tab." promptTitle="Total MM by Age/Sex Band" prompt="The number of unique Rhode Island resident members for the age/sex cell participating in a plan each month with a medical benefit, regardless of whether the member has any paid claims.  See &quot;Definitions&quot; tab.  No negative values." sqref="E9:E1096" xr:uid="{5097A990-AC56-4391-B5D4-E4A1096BF685}">
      <formula1>0</formula1>
    </dataValidation>
    <dataValidation type="whole" allowBlank="1" showInputMessage="1" showErrorMessage="1" prompt="See &quot;Definitions&quot; tab. No negative values." sqref="G9:G1096" xr:uid="{B018CB3D-81F0-48A6-9884-6DA17DD85F63}">
      <formula1>0</formula1>
      <formula2>10000000</formula2>
    </dataValidation>
    <dataValidation type="whole" operator="greaterThanOrEqual" allowBlank="1" showInputMessage="1" showErrorMessage="1" error="See &quot;Definitions&quot; tab.  No negative values." prompt="See &quot;Definitions&quot; tab.  No negative values." sqref="H9:I1096" xr:uid="{75128107-5809-4DE6-A6F3-9D1B3BC38C78}">
      <formula1>0</formula1>
    </dataValidation>
  </dataValidations>
  <pageMargins left="0.7" right="0.7" top="0.75" bottom="0.75" header="0.3" footer="0.3"/>
  <pageSetup orientation="portrait" horizontalDpi="1200" verticalDpi="1200" r:id="rId1"/>
  <tableParts count="1">
    <tablePart r:id="rId2"/>
  </tableParts>
  <extLst>
    <ext xmlns:x14="http://schemas.microsoft.com/office/spreadsheetml/2009/9/main" uri="{CCE6A557-97BC-4b89-ADB6-D9C93CAAB3DF}">
      <x14:dataValidations xmlns:xm="http://schemas.microsoft.com/office/excel/2006/main" xWindow="427" yWindow="393" count="2">
        <x14:dataValidation type="list" allowBlank="1" showInputMessage="1" showErrorMessage="1" error="Please input the insurance category being reported (see &quot;Reference Tables&quot; tab)." promptTitle="Insurance Category Code" prompt="1: Medicare &amp; Medicare Managed Care_x000a_2: Medicaid &amp; Medicaid Managed Care_x000a_3: Commerical: Full-Claims_x000a_4: Commercial: Partial-Adjusted_x000a_5: Medicare Exp. for Duals_x000a_6: Medicaid Exp. &amp; Medicaid Duals_x000a_7: Medicare/Medicaid Int. Duals_x000a_8: Other" xr:uid="{FE05A398-CA3B-4C04-AE90-414868B5BBEA}">
          <x14:formula1>
            <xm:f>'Reference Tables'!$A$34:$A$41</xm:f>
          </x14:formula1>
          <xm:sqref>B459:B1096</xm:sqref>
        </x14:dataValidation>
        <x14:dataValidation type="list" operator="equal" allowBlank="1" showInputMessage="1" showErrorMessage="1" error="Please input the ID being reported (see &quot;Reference Tables&quot; tab)." promptTitle="ACO/AE ID or Insurer overall" prompt="Insurer Overall: 100_x000a_Blackstone Valley CHC: 101_x000a_Coastal Medical: 102_x000a_Integra Community Care Network: 103_x000a_Integrated HCP: 104_x000a_Lifespan: 105_x000a_Providence CHC: 106_x000a_Prospect CharterCARE: 107_x000a_Thundermist: 108_x000a_Members Not Attributed to an ACO/AE: 999" xr:uid="{8185957E-DB73-4A15-A95E-9F4F053A13FB}">
          <x14:formula1>
            <xm:f>'Reference Tables'!$A$10:$A$19</xm:f>
          </x14:formula1>
          <xm:sqref>A459:A1096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EBADF-DBFC-45E9-B2A5-1852BF621259}">
  <sheetPr codeName="Sheet9">
    <tabColor theme="6"/>
  </sheetPr>
  <dimension ref="A1:F47"/>
  <sheetViews>
    <sheetView workbookViewId="0">
      <selection sqref="A1:F2"/>
    </sheetView>
  </sheetViews>
  <sheetFormatPr defaultColWidth="9.1796875" defaultRowHeight="14.5" x14ac:dyDescent="0.35"/>
  <cols>
    <col min="1" max="1" width="15.453125" customWidth="1"/>
    <col min="2" max="2" width="97.54296875" customWidth="1"/>
    <col min="3" max="4" width="24.7265625" bestFit="1" customWidth="1"/>
    <col min="5" max="5" width="19.1796875" customWidth="1"/>
  </cols>
  <sheetData>
    <row r="1" spans="1:6" x14ac:dyDescent="0.35">
      <c r="A1" s="583" t="s">
        <v>208</v>
      </c>
      <c r="B1" s="584"/>
      <c r="C1" s="584"/>
      <c r="D1" s="584"/>
      <c r="E1" s="584"/>
      <c r="F1" s="585"/>
    </row>
    <row r="2" spans="1:6" x14ac:dyDescent="0.35">
      <c r="A2" s="586"/>
      <c r="B2" s="587"/>
      <c r="C2" s="587"/>
      <c r="D2" s="587"/>
      <c r="E2" s="587"/>
      <c r="F2" s="588"/>
    </row>
    <row r="5" spans="1:6" x14ac:dyDescent="0.35">
      <c r="A5" s="1"/>
      <c r="B5" s="94" t="s">
        <v>38</v>
      </c>
      <c r="C5" s="93"/>
    </row>
    <row r="6" spans="1:6" x14ac:dyDescent="0.35">
      <c r="A6" s="31" t="s">
        <v>39</v>
      </c>
      <c r="B6" s="4"/>
      <c r="C6" s="5" t="s">
        <v>40</v>
      </c>
    </row>
    <row r="7" spans="1:6" x14ac:dyDescent="0.35">
      <c r="A7" s="31" t="s">
        <v>41</v>
      </c>
      <c r="B7" s="4"/>
      <c r="C7" s="5" t="s">
        <v>40</v>
      </c>
    </row>
    <row r="9" spans="1:6" x14ac:dyDescent="0.35">
      <c r="A9" s="5"/>
      <c r="B9" s="5" t="s">
        <v>42</v>
      </c>
    </row>
    <row r="10" spans="1:6" x14ac:dyDescent="0.35">
      <c r="B10" s="589" t="s">
        <v>35</v>
      </c>
      <c r="C10" s="589"/>
      <c r="D10" s="589"/>
      <c r="E10" s="589"/>
    </row>
    <row r="11" spans="1:6" x14ac:dyDescent="0.35">
      <c r="B11" s="201" t="s">
        <v>43</v>
      </c>
      <c r="C11" s="201" t="s">
        <v>541</v>
      </c>
      <c r="D11" s="201" t="s">
        <v>764</v>
      </c>
      <c r="E11" s="201" t="s">
        <v>44</v>
      </c>
    </row>
    <row r="12" spans="1:6" x14ac:dyDescent="0.35">
      <c r="B12" s="205" t="s">
        <v>45</v>
      </c>
      <c r="C12" s="8"/>
      <c r="D12" s="8"/>
      <c r="E12" s="8"/>
    </row>
    <row r="13" spans="1:6" x14ac:dyDescent="0.35">
      <c r="B13" s="205" t="s">
        <v>212</v>
      </c>
      <c r="C13" s="8"/>
      <c r="D13" s="8"/>
      <c r="E13" s="8"/>
    </row>
    <row r="14" spans="1:6" x14ac:dyDescent="0.35">
      <c r="B14" s="205" t="s">
        <v>46</v>
      </c>
      <c r="C14" s="8"/>
      <c r="D14" s="8"/>
      <c r="E14" s="8"/>
    </row>
    <row r="15" spans="1:6" x14ac:dyDescent="0.35">
      <c r="B15" s="205" t="s">
        <v>47</v>
      </c>
      <c r="C15" s="8"/>
      <c r="D15" s="8"/>
      <c r="E15" s="8"/>
    </row>
    <row r="16" spans="1:6" x14ac:dyDescent="0.35">
      <c r="B16" s="205" t="s">
        <v>48</v>
      </c>
      <c r="C16" s="8"/>
      <c r="D16" s="8"/>
      <c r="E16" s="8"/>
    </row>
    <row r="17" spans="2:5" ht="29" x14ac:dyDescent="0.35">
      <c r="B17" s="205" t="s">
        <v>765</v>
      </c>
      <c r="C17" s="8"/>
      <c r="D17" s="8"/>
      <c r="E17" s="8"/>
    </row>
    <row r="18" spans="2:5" ht="29" x14ac:dyDescent="0.35">
      <c r="B18" s="205" t="s">
        <v>598</v>
      </c>
      <c r="C18" s="8"/>
      <c r="D18" s="8"/>
      <c r="E18" s="8"/>
    </row>
    <row r="19" spans="2:5" x14ac:dyDescent="0.35">
      <c r="B19" s="205" t="s">
        <v>642</v>
      </c>
      <c r="C19" s="8"/>
      <c r="D19" s="8"/>
      <c r="E19" s="8"/>
    </row>
    <row r="20" spans="2:5" ht="29" x14ac:dyDescent="0.35">
      <c r="B20" s="205" t="s">
        <v>643</v>
      </c>
      <c r="C20" s="8"/>
      <c r="D20" s="8"/>
      <c r="E20" s="8"/>
    </row>
    <row r="21" spans="2:5" x14ac:dyDescent="0.35">
      <c r="B21" s="205" t="s">
        <v>49</v>
      </c>
      <c r="C21" s="8"/>
      <c r="D21" s="8"/>
      <c r="E21" s="8"/>
    </row>
    <row r="22" spans="2:5" x14ac:dyDescent="0.35">
      <c r="B22" s="205" t="s">
        <v>50</v>
      </c>
      <c r="C22" s="8"/>
      <c r="D22" s="8"/>
      <c r="E22" s="8"/>
    </row>
    <row r="23" spans="2:5" x14ac:dyDescent="0.35">
      <c r="B23" s="205" t="s">
        <v>213</v>
      </c>
      <c r="C23" s="8"/>
      <c r="D23" s="8"/>
      <c r="E23" s="8"/>
    </row>
    <row r="24" spans="2:5" x14ac:dyDescent="0.35">
      <c r="B24" s="205" t="s">
        <v>51</v>
      </c>
      <c r="C24" s="8"/>
      <c r="D24" s="8"/>
      <c r="E24" s="8"/>
    </row>
    <row r="25" spans="2:5" x14ac:dyDescent="0.35">
      <c r="B25" s="205" t="s">
        <v>644</v>
      </c>
      <c r="C25" s="8"/>
      <c r="D25" s="8"/>
      <c r="E25" s="8"/>
    </row>
    <row r="26" spans="2:5" x14ac:dyDescent="0.35">
      <c r="B26" s="205" t="s">
        <v>645</v>
      </c>
      <c r="C26" s="8"/>
      <c r="D26" s="8"/>
      <c r="E26" s="8"/>
    </row>
    <row r="27" spans="2:5" x14ac:dyDescent="0.35">
      <c r="B27" s="205" t="s">
        <v>52</v>
      </c>
      <c r="C27" s="8"/>
      <c r="D27" s="8"/>
      <c r="E27" s="8"/>
    </row>
    <row r="28" spans="2:5" x14ac:dyDescent="0.35">
      <c r="B28" s="205" t="s">
        <v>155</v>
      </c>
      <c r="C28" s="8"/>
      <c r="D28" s="8"/>
      <c r="E28" s="8"/>
    </row>
    <row r="29" spans="2:5" x14ac:dyDescent="0.35">
      <c r="B29" s="205" t="s">
        <v>53</v>
      </c>
      <c r="C29" s="8"/>
      <c r="D29" s="8"/>
      <c r="E29" s="8"/>
    </row>
    <row r="30" spans="2:5" x14ac:dyDescent="0.35">
      <c r="B30" s="205" t="s">
        <v>54</v>
      </c>
      <c r="C30" s="8"/>
      <c r="D30" s="8"/>
      <c r="E30" s="8"/>
    </row>
    <row r="31" spans="2:5" x14ac:dyDescent="0.35">
      <c r="B31" s="205" t="s">
        <v>55</v>
      </c>
      <c r="C31" s="8"/>
      <c r="D31" s="8"/>
      <c r="E31" s="8"/>
    </row>
    <row r="32" spans="2:5" x14ac:dyDescent="0.35">
      <c r="B32" s="205" t="s">
        <v>637</v>
      </c>
      <c r="C32" s="8"/>
      <c r="D32" s="8"/>
      <c r="E32" s="8"/>
    </row>
    <row r="33" spans="2:5" x14ac:dyDescent="0.35">
      <c r="B33" s="205" t="s">
        <v>239</v>
      </c>
      <c r="C33" s="8"/>
      <c r="D33" s="8"/>
      <c r="E33" s="8"/>
    </row>
    <row r="34" spans="2:5" ht="29" x14ac:dyDescent="0.35">
      <c r="B34" s="205" t="s">
        <v>590</v>
      </c>
      <c r="C34" s="8"/>
      <c r="D34" s="8"/>
      <c r="E34" s="8"/>
    </row>
    <row r="35" spans="2:5" x14ac:dyDescent="0.35">
      <c r="B35" s="205" t="s">
        <v>240</v>
      </c>
      <c r="C35" s="8"/>
      <c r="D35" s="8"/>
      <c r="E35" s="8"/>
    </row>
    <row r="36" spans="2:5" x14ac:dyDescent="0.35">
      <c r="B36" s="205" t="s">
        <v>589</v>
      </c>
      <c r="C36" s="8"/>
      <c r="D36" s="8"/>
      <c r="E36" s="8"/>
    </row>
    <row r="37" spans="2:5" x14ac:dyDescent="0.35">
      <c r="B37" s="205" t="s">
        <v>636</v>
      </c>
      <c r="C37" s="8"/>
      <c r="D37" s="8"/>
      <c r="E37" s="8"/>
    </row>
    <row r="38" spans="2:5" x14ac:dyDescent="0.35">
      <c r="B38" s="205" t="s">
        <v>638</v>
      </c>
      <c r="C38" s="8"/>
      <c r="D38" s="8"/>
      <c r="E38" s="8"/>
    </row>
    <row r="39" spans="2:5" ht="29" x14ac:dyDescent="0.35">
      <c r="B39" s="205" t="s">
        <v>639</v>
      </c>
      <c r="C39" s="8"/>
      <c r="D39" s="8"/>
      <c r="E39" s="8"/>
    </row>
    <row r="40" spans="2:5" x14ac:dyDescent="0.35">
      <c r="B40" s="205" t="s">
        <v>640</v>
      </c>
      <c r="C40" s="8"/>
      <c r="D40" s="8"/>
      <c r="E40" s="8"/>
    </row>
    <row r="41" spans="2:5" x14ac:dyDescent="0.35">
      <c r="B41" s="205" t="s">
        <v>641</v>
      </c>
      <c r="C41" s="8"/>
      <c r="D41" s="8"/>
      <c r="E41" s="8"/>
    </row>
    <row r="42" spans="2:5" ht="29" x14ac:dyDescent="0.35">
      <c r="B42" s="475" t="s">
        <v>729</v>
      </c>
      <c r="C42" s="8"/>
      <c r="D42" s="8"/>
      <c r="E42" s="8"/>
    </row>
    <row r="43" spans="2:5" x14ac:dyDescent="0.35">
      <c r="B43" s="205" t="s">
        <v>56</v>
      </c>
      <c r="C43" s="8"/>
      <c r="D43" s="8"/>
      <c r="E43" s="8"/>
    </row>
    <row r="45" spans="2:5" x14ac:dyDescent="0.35">
      <c r="B45" s="95"/>
    </row>
    <row r="46" spans="2:5" x14ac:dyDescent="0.35">
      <c r="B46" s="138"/>
    </row>
    <row r="47" spans="2:5" x14ac:dyDescent="0.35">
      <c r="B47" s="95"/>
    </row>
  </sheetData>
  <sheetProtection algorithmName="SHA-512" hashValue="VkpNVtSeckZFbQsec5MCe2kzqEnk+NoPoaai97CZe1scG81v9Qe/AdMyUYkDb5FdIQu0Id9CrSF6Y0xv9rIovg==" saltValue="VoAJLymCo2JKJIzG8Cs5QQ==" spinCount="100000" sheet="1" objects="1" scenarios="1"/>
  <mergeCells count="2">
    <mergeCell ref="A1:F2"/>
    <mergeCell ref="B10:E10"/>
  </mergeCells>
  <dataValidations xWindow="944" yWindow="508" count="1">
    <dataValidation type="list" allowBlank="1" showInputMessage="1" showErrorMessage="1" error="Please select an option from the drop down list." prompt="Please select an option from the drop down list." sqref="C31:D43 C12:D28" xr:uid="{6025DF55-18D6-4E47-884C-6C2CCCB5EDDA}">
      <formula1>"Yes, No"</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2" stopIfTrue="1" id="{940B5EC9-27D1-4F7D-A52B-2D280C1DD791}">
            <xm:f>'https://bailit.sharepoint.com/Megan/RI Governor/[MA TME APM 2019 Template with calculations.xlsm]System Data'!#REF!</xm:f>
            <x14:dxf>
              <font>
                <b val="0"/>
                <i val="0"/>
                <color theme="0"/>
              </font>
            </x14:dxf>
          </x14:cfRule>
          <xm:sqref>C6</xm:sqref>
        </x14:conditionalFormatting>
        <x14:conditionalFormatting xmlns:xm="http://schemas.microsoft.com/office/excel/2006/main">
          <x14:cfRule type="expression" priority="1" stopIfTrue="1" id="{D159B1BD-A166-42CC-A0B3-B83A52533FFB}">
            <xm:f>'https://bailit.sharepoint.com/Megan/RI Governor/[MA TME APM 2019 Template with calculations.xlsm]System Data'!#REF!</xm:f>
            <x14:dxf>
              <font>
                <color theme="0"/>
              </font>
            </x14:dxf>
          </x14:cfRule>
          <xm:sqref>C7</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2DBDB-19CE-40E3-A354-1700A62F6300}">
  <sheetPr codeName="Sheet8">
    <tabColor theme="9"/>
  </sheetPr>
  <dimension ref="B2:O160"/>
  <sheetViews>
    <sheetView workbookViewId="0"/>
  </sheetViews>
  <sheetFormatPr defaultRowHeight="14.5" x14ac:dyDescent="0.35"/>
  <cols>
    <col min="1" max="1" width="3.81640625" customWidth="1"/>
    <col min="2" max="2" width="61.7265625" customWidth="1"/>
    <col min="3" max="4" width="18.7265625" customWidth="1"/>
    <col min="5" max="5" width="10.7265625" customWidth="1"/>
    <col min="7" max="7" width="61.7265625" customWidth="1"/>
    <col min="8" max="9" width="18.7265625" customWidth="1"/>
    <col min="10" max="10" width="10.7265625" customWidth="1"/>
    <col min="12" max="12" width="61.7265625" customWidth="1"/>
    <col min="13" max="14" width="18.7265625" customWidth="1"/>
    <col min="15" max="15" width="10.7265625" customWidth="1"/>
  </cols>
  <sheetData>
    <row r="2" spans="2:10" ht="18.5" x14ac:dyDescent="0.45">
      <c r="B2" s="136" t="s">
        <v>136</v>
      </c>
    </row>
    <row r="3" spans="2:10" ht="44.25" customHeight="1" x14ac:dyDescent="0.35">
      <c r="B3" s="590" t="s">
        <v>766</v>
      </c>
      <c r="C3" s="590"/>
      <c r="D3" s="590"/>
      <c r="E3" s="590"/>
      <c r="F3" s="590"/>
      <c r="G3" s="590"/>
      <c r="H3" s="590"/>
      <c r="I3" s="590"/>
      <c r="J3" s="590"/>
    </row>
    <row r="5" spans="2:10" ht="15.5" x14ac:dyDescent="0.35">
      <c r="B5" s="42" t="s">
        <v>120</v>
      </c>
    </row>
    <row r="6" spans="2:10" x14ac:dyDescent="0.35">
      <c r="B6" s="57" t="s">
        <v>121</v>
      </c>
      <c r="C6" s="58" t="s">
        <v>525</v>
      </c>
      <c r="D6" s="58" t="s">
        <v>669</v>
      </c>
      <c r="E6" s="59" t="s">
        <v>115</v>
      </c>
      <c r="G6" s="95"/>
    </row>
    <row r="7" spans="2:10" x14ac:dyDescent="0.35">
      <c r="B7" s="53" t="s">
        <v>123</v>
      </c>
      <c r="C7" s="195">
        <f>SUM(C8:C9)</f>
        <v>0</v>
      </c>
      <c r="D7" s="195">
        <f>SUM(D8:D9)</f>
        <v>0</v>
      </c>
      <c r="E7" s="90" t="str">
        <f>IFERROR(MMbyMkt[[#This Row],[2022]]/MMbyMkt[[#This Row],[2021]]-1,"NA")</f>
        <v>NA</v>
      </c>
    </row>
    <row r="8" spans="2:10" x14ac:dyDescent="0.35">
      <c r="B8" s="54" t="s">
        <v>98</v>
      </c>
      <c r="C8" s="195">
        <f>SUMIF(ACOAETME2021[[#All], [Insurance Category Code]],3,ACOAETME2021[[#All],[Member Months]])-SUMIFS(ACOAETME2021[[#All],[Member Months]],ACOAETME2021[[#All],[Insurance Category Code]],3,ACOAETME2021[[#All],[ACO/AE or Insurer Overall Organization ID]],100)</f>
        <v>0</v>
      </c>
      <c r="D8" s="195">
        <f>SUMIF(ACOAETME2022[[#All],[Insurance Category Code]],3,ACOAETME2022[[#All],[Member Months]])-SUMIFS(ACOAETME2022[[#All],[Member Months]],ACOAETME2022[[#All],[Insurance Category Code]],3,ACOAETME2022[[#All],[ACO/AE or Insurer Overall Organization ID]],100)</f>
        <v>0</v>
      </c>
      <c r="E8" s="90" t="str">
        <f>IFERROR(MMbyMkt[[#This Row],[2022]]/MMbyMkt[[#This Row],[2021]]-1,"NA")</f>
        <v>NA</v>
      </c>
    </row>
    <row r="9" spans="2:10" x14ac:dyDescent="0.35">
      <c r="B9" s="54" t="s">
        <v>127</v>
      </c>
      <c r="C9" s="195">
        <f>SUMIF(ACOAETME2021[[#All], [Insurance Category Code]],4,ACOAETME2021[[#All],[Member Months]])-SUMIFS(ACOAETME2021[[#All],[Member Months]],ACOAETME2021[[#All],[Insurance Category Code]],4,ACOAETME2021[[#All],[ACO/AE or Insurer Overall Organization ID]],100)</f>
        <v>0</v>
      </c>
      <c r="D9" s="195">
        <f>SUMIF(ACOAETME2022[[#All],[Insurance Category Code]],4,ACOAETME2022[[#All],[Member Months]])-SUMIFS(ACOAETME2022[[#All],[Member Months]],ACOAETME2022[[#All],[Insurance Category Code]],4,ACOAETME2022[[#All],[ACO/AE or Insurer Overall Organization ID]],100)</f>
        <v>0</v>
      </c>
      <c r="E9" s="90" t="str">
        <f>IFERROR(MMbyMkt[[#This Row],[2022]]/MMbyMkt[[#This Row],[2021]]-1,"NA")</f>
        <v>NA</v>
      </c>
      <c r="F9" s="95"/>
    </row>
    <row r="10" spans="2:10" x14ac:dyDescent="0.35">
      <c r="B10" s="53" t="s">
        <v>122</v>
      </c>
      <c r="C10" s="195">
        <f>SUM(C11:C12)</f>
        <v>0</v>
      </c>
      <c r="D10" s="195">
        <f>SUM(D11:D12)</f>
        <v>0</v>
      </c>
      <c r="E10" s="90" t="str">
        <f>IFERROR(MMbyMkt[[#This Row],[2022]]/MMbyMkt[[#This Row],[2021]]-1,"NA")</f>
        <v>NA</v>
      </c>
    </row>
    <row r="11" spans="2:10" x14ac:dyDescent="0.35">
      <c r="B11" s="54" t="s">
        <v>197</v>
      </c>
      <c r="C11" s="195">
        <f>SUMIF(ACOAETME2021[[#All], [Insurance Category Code]],2,ACOAETME2021[[#All],[Member Months]])-SUMIFS(ACOAETME2021[[#All],[Member Months]],ACOAETME2021[[#All],[Insurance Category Code]],2,ACOAETME2021[[#All],[ACO/AE or Insurer Overall Organization ID]],100)</f>
        <v>0</v>
      </c>
      <c r="D11" s="195">
        <f>SUMIF(ACOAETME2022[[#All],[Insurance Category Code]],2,ACOAETME2022[[#All],[Member Months]])-SUMIFS(ACOAETME2022[[#All],[Member Months]],ACOAETME2022[[#All],[Insurance Category Code]],2,ACOAETME2022[[#All],[ACO/AE or Insurer Overall Organization ID]],100)</f>
        <v>0</v>
      </c>
      <c r="E11" s="90" t="str">
        <f>IFERROR(MMbyMkt[[#This Row],[2022]]/MMbyMkt[[#This Row],[2021]]-1,"NA")</f>
        <v>NA</v>
      </c>
      <c r="F11" s="95"/>
    </row>
    <row r="12" spans="2:10" x14ac:dyDescent="0.35">
      <c r="B12" s="54" t="s">
        <v>100</v>
      </c>
      <c r="C12" s="195">
        <f>SUMIF(ACOAETME2021[[#All], [Insurance Category Code]],6,ACOAETME2021[[#All],[Member Months]])-SUMIFS(ACOAETME2021[[#All],[Member Months]],ACOAETME2021[[#All],[Insurance Category Code]],6,ACOAETME2021[[#All],[ACO/AE or Insurer Overall Organization ID]],100)</f>
        <v>0</v>
      </c>
      <c r="D12" s="195">
        <f>SUMIF(ACOAETME2022[[#All],[Insurance Category Code]],6,ACOAETME2022[[#All],[Member Months]])-SUMIFS(ACOAETME2022[[#All],[Member Months]],ACOAETME2022[[#All],[Insurance Category Code]],6,ACOAETME2022[[#All],[ACO/AE or Insurer Overall Organization ID]],100)</f>
        <v>0</v>
      </c>
      <c r="E12" s="90" t="str">
        <f>IFERROR(MMbyMkt[[#This Row],[2022]]/MMbyMkt[[#This Row],[2021]]-1,"NA")</f>
        <v>NA</v>
      </c>
    </row>
    <row r="13" spans="2:10" x14ac:dyDescent="0.35">
      <c r="B13" s="55" t="s">
        <v>124</v>
      </c>
      <c r="C13" s="195">
        <f>SUM(C14:C15)</f>
        <v>0</v>
      </c>
      <c r="D13" s="195">
        <f>SUM(D14:D15)</f>
        <v>0</v>
      </c>
      <c r="E13" s="90" t="str">
        <f>IFERROR(MMbyMkt[[#This Row],[2022]]/MMbyMkt[[#This Row],[2021]]-1,"NA")</f>
        <v>NA</v>
      </c>
    </row>
    <row r="14" spans="2:10" x14ac:dyDescent="0.35">
      <c r="B14" s="54" t="s">
        <v>198</v>
      </c>
      <c r="C14" s="195">
        <f>SUMIF(ACOAETME2021[[#All], [Insurance Category Code]],1,ACOAETME2021[[#All],[Member Months]])-SUMIFS(ACOAETME2021[[#All],[Member Months]],ACOAETME2021[[#All],[Insurance Category Code]],1,ACOAETME2021[[#All],[ACO/AE or Insurer Overall Organization ID]],100)</f>
        <v>0</v>
      </c>
      <c r="D14" s="195">
        <f>SUMIF(ACOAETME2022[[#All],[Insurance Category Code]],1,ACOAETME2022[[#All],[Member Months]])-SUMIFS(ACOAETME2022[[#All],[Member Months]],ACOAETME2022[[#All],[Insurance Category Code]],1,ACOAETME2022[[#All],[ACO/AE or Insurer Overall Organization ID]],100)</f>
        <v>0</v>
      </c>
      <c r="E14" s="90" t="str">
        <f>IFERROR(MMbyMkt[[#This Row],[2022]]/MMbyMkt[[#This Row],[2021]]-1,"NA")</f>
        <v>NA</v>
      </c>
      <c r="F14" s="95"/>
    </row>
    <row r="15" spans="2:10" x14ac:dyDescent="0.35">
      <c r="B15" s="54" t="s">
        <v>99</v>
      </c>
      <c r="C15" s="195">
        <f>SUMIF(ACOAETME2021[[#All], [Insurance Category Code]],5,ACOAETME2021[[#All],[Member Months]])-SUMIFS(ACOAETME2021[[#All],[Member Months]],ACOAETME2021[[#All],[Insurance Category Code]],5,ACOAETME2021[[#All],[ACO/AE or Insurer Overall Organization ID]],100)</f>
        <v>0</v>
      </c>
      <c r="D15" s="195">
        <f>SUMIF(ACOAETME2022[[#All],[Insurance Category Code]],5,ACOAETME2022[[#All],[Member Months]])-SUMIFS(ACOAETME2022[[#All],[Member Months]],ACOAETME2022[[#All],[Insurance Category Code]],5,ACOAETME2022[[#All],[ACO/AE or Insurer Overall Organization ID]],100)</f>
        <v>0</v>
      </c>
      <c r="E15" s="90" t="str">
        <f>IFERROR(MMbyMkt[[#This Row],[2022]]/MMbyMkt[[#This Row],[2021]]-1,"NA")</f>
        <v>NA</v>
      </c>
    </row>
    <row r="16" spans="2:10" x14ac:dyDescent="0.35">
      <c r="B16" s="53" t="s">
        <v>199</v>
      </c>
      <c r="C16" s="195">
        <f>SUMIF(ACOAETME2021[[#All], [Insurance Category Code]],7,ACOAETME2021[[#All],[Member Months]])-SUMIFS(ACOAETME2021[[#All],[Member Months]],ACOAETME2021[[#All],[Insurance Category Code]],7,ACOAETME2021[[#All],[ACO/AE or Insurer Overall Organization ID]],100)</f>
        <v>0</v>
      </c>
      <c r="D16" s="195">
        <f>SUMIF(ACOAETME2022[[#All],[Insurance Category Code]],7,ACOAETME2022[[#All],[Member Months]])-SUMIFS(ACOAETME2022[[#All],[Member Months]],ACOAETME2022[[#All],[Insurance Category Code]],7,ACOAETME2022[[#All],[ACO/AE or Insurer Overall Organization ID]],100)</f>
        <v>0</v>
      </c>
      <c r="E16" s="90" t="str">
        <f>IFERROR(MMbyMkt[[#This Row],[2022]]/MMbyMkt[[#This Row],[2021]]-1,"NA")</f>
        <v>NA</v>
      </c>
    </row>
    <row r="17" spans="2:10" x14ac:dyDescent="0.35">
      <c r="B17" s="53" t="s">
        <v>30</v>
      </c>
      <c r="C17" s="195">
        <f>SUMIF(ACOAETME2021[[#All], [Insurance Category Code]],8,ACOAETME2021[[#All],[Member Months]])-SUMIFS(ACOAETME2021[[#All],[Member Months]],ACOAETME2021[[#All],[Insurance Category Code]],8,ACOAETME2021[[#All],[ACO/AE or Insurer Overall Organization ID]],100)</f>
        <v>0</v>
      </c>
      <c r="D17" s="195">
        <f>SUMIF(ACOAETME2022[[#All],[Insurance Category Code]],8,ACOAETME2022[[#All],[Member Months]])-SUMIFS(ACOAETME2022[[#All],[Member Months]],ACOAETME2022[[#All],[Insurance Category Code]],8,ACOAETME2022[[#All],[ACO/AE or Insurer Overall Organization ID]],100)</f>
        <v>0</v>
      </c>
      <c r="E17" s="90" t="str">
        <f>IFERROR(MMbyMkt[[#This Row],[2022]]/MMbyMkt[[#This Row],[2021]]-1,"NA")</f>
        <v>NA</v>
      </c>
    </row>
    <row r="18" spans="2:10" x14ac:dyDescent="0.35">
      <c r="B18" s="60" t="s">
        <v>7</v>
      </c>
      <c r="C18" s="420">
        <f>SUM(C7,C10,C13,C16,C17)</f>
        <v>0</v>
      </c>
      <c r="D18" s="420">
        <f>SUM(D7,D10,D13,D16,D17)</f>
        <v>0</v>
      </c>
      <c r="E18" s="92" t="str">
        <f>IFERROR(MMbyMkt[[#This Row],[2022]]/MMbyMkt[[#This Row],[2021]]-1,"NA")</f>
        <v>NA</v>
      </c>
    </row>
    <row r="20" spans="2:10" ht="15.5" x14ac:dyDescent="0.35">
      <c r="B20" s="42" t="s">
        <v>574</v>
      </c>
      <c r="G20" s="42" t="s">
        <v>578</v>
      </c>
    </row>
    <row r="21" spans="2:10" x14ac:dyDescent="0.35">
      <c r="B21" s="57" t="s">
        <v>121</v>
      </c>
      <c r="C21" s="58" t="s">
        <v>525</v>
      </c>
      <c r="D21" s="58" t="s">
        <v>669</v>
      </c>
      <c r="E21" s="59" t="s">
        <v>115</v>
      </c>
      <c r="G21" s="57" t="s">
        <v>121</v>
      </c>
      <c r="H21" s="58" t="s">
        <v>525</v>
      </c>
      <c r="I21" s="58" t="s">
        <v>669</v>
      </c>
      <c r="J21" s="59" t="s">
        <v>115</v>
      </c>
    </row>
    <row r="22" spans="2:10" x14ac:dyDescent="0.35">
      <c r="B22" s="53" t="s">
        <v>123</v>
      </c>
      <c r="C22" s="452">
        <f>SUM(C23:C24)</f>
        <v>0</v>
      </c>
      <c r="D22" s="452">
        <f>SUM(D23:D24)</f>
        <v>0</v>
      </c>
      <c r="E22" s="90" t="str">
        <f>IFERROR(TMEbyMktNonTrunc[[#This Row],[2022]]/TMEbyMktNonTrunc[[#This Row],[2021]]-1,"NA")</f>
        <v>NA</v>
      </c>
      <c r="G22" s="53" t="s">
        <v>123</v>
      </c>
      <c r="H22" s="88" t="str">
        <f>IFERROR(TMEbyMktNonTrunc[[#This Row],[2021]]/C7,"NA")</f>
        <v>NA</v>
      </c>
      <c r="I22" s="88" t="str">
        <f>IFERROR(TMEbyMktNonTrunc[[#This Row],[2022]]/D7,"NA")</f>
        <v>NA</v>
      </c>
      <c r="J22" s="90" t="str">
        <f>IFERROR(TMEPMPMbyMkt[[#This Row],[2022]]/TMEPMPMbyMkt[[#This Row],[2021]]-1,"NA")</f>
        <v>NA</v>
      </c>
    </row>
    <row r="23" spans="2:10" x14ac:dyDescent="0.35">
      <c r="B23" s="54" t="s">
        <v>98</v>
      </c>
      <c r="C23" s="452">
        <f>SUMIFS(ACOAETME2021[[#All],[TOTAL Non-Truncated Unadjusted Expenses 
(A19+A21)]], ACOAETME2021[[#All],[Insurance Category Code]],3, ACOAETME2021[[#All],[ACO/AE or Insurer Overall Organization ID]], 100)-ABS(SUMIF(RxRebates21[[#All],[Insurance Category Code]],3,RxRebates21[[#All],[Total Pharmacy Rebates]]))</f>
        <v>0</v>
      </c>
      <c r="D23" s="452">
        <f>SUMIFS(ACOAETME2022[[#All],[TOTAL Non-Truncated Unadjusted Expenses 
(A19+A21)]], ACOAETME2022[[#All],[Insurance Category Code]],3, ACOAETME2022[[#All],[ACO/AE or Insurer Overall Organization ID]], 100)-ABS(SUMIF(RxRebates22[[#All],[Insurance Category Code]],3,RxRebates22[[#All],[Total Pharmacy Rebates]]))</f>
        <v>0</v>
      </c>
      <c r="E23" s="90" t="str">
        <f>IFERROR(TMEbyMktNonTrunc[[#This Row],[2022]]/TMEbyMktNonTrunc[[#This Row],[2021]]-1,"NA")</f>
        <v>NA</v>
      </c>
      <c r="G23" s="54" t="s">
        <v>98</v>
      </c>
      <c r="H23" s="88" t="str">
        <f>IFERROR(TMEbyMktNonTrunc[[#This Row],[2021]]/C8,"NA")</f>
        <v>NA</v>
      </c>
      <c r="I23" s="88" t="str">
        <f>IFERROR(TMEbyMktNonTrunc[[#This Row],[2022]]/D8,"NA")</f>
        <v>NA</v>
      </c>
      <c r="J23" s="90" t="str">
        <f>IFERROR(TMEPMPMbyMkt[[#This Row],[2022]]/TMEPMPMbyMkt[[#This Row],[2021]]-1,"NA")</f>
        <v>NA</v>
      </c>
    </row>
    <row r="24" spans="2:10" x14ac:dyDescent="0.35">
      <c r="B24" s="54" t="s">
        <v>127</v>
      </c>
      <c r="C24" s="452">
        <f>SUMIFS(ACOAETME2021[[#All],[TOTAL Non-Truncated Unadjusted Expenses 
(A19+A21)]], ACOAETME2021[[#All],[Insurance Category Code]],4, ACOAETME2021[[#All],[ACO/AE or Insurer Overall Organization ID]], 100)-ABS(SUMIF(RxRebates21[[#All],[Insurance Category Code]],4,RxRebates21[[#All],[Total Pharmacy Rebates]]))</f>
        <v>0</v>
      </c>
      <c r="D24" s="452">
        <f>SUMIFS(ACOAETME2022[[#All],[TOTAL Non-Truncated Unadjusted Expenses 
(A19+A21)]], ACOAETME2022[[#All],[Insurance Category Code]],4, ACOAETME2022[[#All],[ACO/AE or Insurer Overall Organization ID]], 100)-ABS(SUMIF(RxRebates22[[#All],[Insurance Category Code]],4,RxRebates22[[#All],[Total Pharmacy Rebates]]))</f>
        <v>0</v>
      </c>
      <c r="E24" s="90" t="str">
        <f>IFERROR(TMEbyMktNonTrunc[[#This Row],[2022]]/TMEbyMktNonTrunc[[#This Row],[2021]]-1,"NA")</f>
        <v>NA</v>
      </c>
      <c r="G24" s="54" t="s">
        <v>127</v>
      </c>
      <c r="H24" s="88" t="str">
        <f>IFERROR(TMEbyMktNonTrunc[[#This Row],[2021]]/C9,"NA")</f>
        <v>NA</v>
      </c>
      <c r="I24" s="88" t="str">
        <f>IFERROR(TMEbyMktNonTrunc[[#This Row],[2022]]/D9,"NA")</f>
        <v>NA</v>
      </c>
      <c r="J24" s="90" t="str">
        <f>IFERROR(TMEPMPMbyMkt[[#This Row],[2022]]/TMEPMPMbyMkt[[#This Row],[2021]]-1,"NA")</f>
        <v>NA</v>
      </c>
    </row>
    <row r="25" spans="2:10" x14ac:dyDescent="0.35">
      <c r="B25" s="53" t="s">
        <v>122</v>
      </c>
      <c r="C25" s="452">
        <f>SUM(C26:C27)</f>
        <v>0</v>
      </c>
      <c r="D25" s="452">
        <f>SUM(D26:D27)</f>
        <v>0</v>
      </c>
      <c r="E25" s="90" t="str">
        <f>IFERROR(TMEbyMktNonTrunc[[#This Row],[2022]]/TMEbyMktNonTrunc[[#This Row],[2021]]-1,"NA")</f>
        <v>NA</v>
      </c>
      <c r="G25" s="53" t="s">
        <v>122</v>
      </c>
      <c r="H25" s="88" t="str">
        <f>IFERROR(TMEbyMktNonTrunc[[#This Row],[2021]]/C10,"NA")</f>
        <v>NA</v>
      </c>
      <c r="I25" s="88" t="str">
        <f>IFERROR(TMEbyMktNonTrunc[[#This Row],[2022]]/D10,"NA")</f>
        <v>NA</v>
      </c>
      <c r="J25" s="90" t="str">
        <f>IFERROR(TMEPMPMbyMkt[[#This Row],[2022]]/TMEPMPMbyMkt[[#This Row],[2021]]-1,"NA")</f>
        <v>NA</v>
      </c>
    </row>
    <row r="26" spans="2:10" x14ac:dyDescent="0.35">
      <c r="B26" s="54" t="s">
        <v>197</v>
      </c>
      <c r="C26" s="452">
        <f>SUMIFS(ACOAETME2021[[#All],[TOTAL Non-Truncated Unadjusted Expenses 
(A19+A21)]], ACOAETME2021[[#All],[Insurance Category Code]],2, ACOAETME2021[[#All],[ACO/AE or Insurer Overall Organization ID]], 100)-ABS(SUMIF(RxRebates21[[#All],[Insurance Category Code]],2,RxRebates21[[#All],[Total Pharmacy Rebates]]))</f>
        <v>0</v>
      </c>
      <c r="D26" s="452">
        <f>SUMIFS(ACOAETME2022[[#All],[TOTAL Non-Truncated Unadjusted Expenses 
(A19+A21)]], ACOAETME2022[[#All],[Insurance Category Code]],2, ACOAETME2022[[#All],[ACO/AE or Insurer Overall Organization ID]], 100)-ABS(SUMIF(RxRebates22[[#All],[Insurance Category Code]],2,RxRebates22[[#All],[Total Pharmacy Rebates]]))</f>
        <v>0</v>
      </c>
      <c r="E26" s="90" t="str">
        <f>IFERROR(TMEbyMktNonTrunc[[#This Row],[2022]]/TMEbyMktNonTrunc[[#This Row],[2021]]-1,"NA")</f>
        <v>NA</v>
      </c>
      <c r="G26" s="54" t="s">
        <v>197</v>
      </c>
      <c r="H26" s="88" t="str">
        <f>IFERROR(TMEbyMktNonTrunc[[#This Row],[2021]]/C11,"NA")</f>
        <v>NA</v>
      </c>
      <c r="I26" s="88" t="str">
        <f>IFERROR(TMEbyMktNonTrunc[[#This Row],[2022]]/D11,"NA")</f>
        <v>NA</v>
      </c>
      <c r="J26" s="90" t="str">
        <f>IFERROR(TMEPMPMbyMkt[[#This Row],[2022]]/TMEPMPMbyMkt[[#This Row],[2021]]-1,"NA")</f>
        <v>NA</v>
      </c>
    </row>
    <row r="27" spans="2:10" x14ac:dyDescent="0.35">
      <c r="B27" s="54" t="s">
        <v>100</v>
      </c>
      <c r="C27" s="452">
        <f>SUMIFS(ACOAETME2021[[#All],[TOTAL Non-Truncated Unadjusted Expenses 
(A19+A21)]], ACOAETME2021[[#All],[Insurance Category Code]],6, ACOAETME2021[[#All],[ACO/AE or Insurer Overall Organization ID]], 100)-ABS(SUMIF(RxRebates21[[#All],[Insurance Category Code]],6,RxRebates21[[#All],[Total Pharmacy Rebates]]))</f>
        <v>0</v>
      </c>
      <c r="D27" s="452">
        <f>SUMIFS(ACOAETME2022[[#All],[TOTAL Non-Truncated Unadjusted Expenses 
(A19+A21)]], ACOAETME2022[[#All],[Insurance Category Code]],6, ACOAETME2022[[#All],[ACO/AE or Insurer Overall Organization ID]], 100)-ABS(SUMIF(RxRebates22[[#All],[Insurance Category Code]],6,RxRebates22[[#All],[Total Pharmacy Rebates]]))</f>
        <v>0</v>
      </c>
      <c r="E27" s="90" t="str">
        <f>IFERROR(TMEbyMktNonTrunc[[#This Row],[2022]]/TMEbyMktNonTrunc[[#This Row],[2021]]-1,"NA")</f>
        <v>NA</v>
      </c>
      <c r="G27" s="54" t="s">
        <v>100</v>
      </c>
      <c r="H27" s="88" t="str">
        <f>IFERROR(TMEbyMktNonTrunc[[#This Row],[2021]]/C12,"NA")</f>
        <v>NA</v>
      </c>
      <c r="I27" s="88" t="str">
        <f>IFERROR(TMEbyMktNonTrunc[[#This Row],[2022]]/D12,"NA")</f>
        <v>NA</v>
      </c>
      <c r="J27" s="90" t="str">
        <f>IFERROR(TMEPMPMbyMkt[[#This Row],[2022]]/TMEPMPMbyMkt[[#This Row],[2021]]-1,"NA")</f>
        <v>NA</v>
      </c>
    </row>
    <row r="28" spans="2:10" x14ac:dyDescent="0.35">
      <c r="B28" s="55" t="s">
        <v>124</v>
      </c>
      <c r="C28" s="452">
        <f>SUM(C29:C30)</f>
        <v>0</v>
      </c>
      <c r="D28" s="452">
        <f>SUM(D29:D30)</f>
        <v>0</v>
      </c>
      <c r="E28" s="90" t="str">
        <f>IFERROR(TMEbyMktNonTrunc[[#This Row],[2022]]/TMEbyMktNonTrunc[[#This Row],[2021]]-1,"NA")</f>
        <v>NA</v>
      </c>
      <c r="G28" s="55" t="s">
        <v>124</v>
      </c>
      <c r="H28" s="88" t="str">
        <f>IFERROR(TMEbyMktNonTrunc[[#This Row],[2021]]/C13,"NA")</f>
        <v>NA</v>
      </c>
      <c r="I28" s="88" t="str">
        <f>IFERROR(TMEbyMktNonTrunc[[#This Row],[2022]]/D13,"NA")</f>
        <v>NA</v>
      </c>
      <c r="J28" s="90" t="str">
        <f>IFERROR(TMEPMPMbyMkt[[#This Row],[2022]]/TMEPMPMbyMkt[[#This Row],[2021]]-1,"NA")</f>
        <v>NA</v>
      </c>
    </row>
    <row r="29" spans="2:10" x14ac:dyDescent="0.35">
      <c r="B29" s="54" t="s">
        <v>198</v>
      </c>
      <c r="C29" s="452">
        <f>SUMIFS(ACOAETME2021[[#All],[TOTAL Non-Truncated Unadjusted Expenses 
(A19+A21)]], ACOAETME2021[[#All],[Insurance Category Code]],1, ACOAETME2021[[#All],[ACO/AE or Insurer Overall Organization ID]], 100)-ABS(SUMIF(RxRebates21[[#All],[Insurance Category Code]],1,RxRebates21[[#All],[Total Pharmacy Rebates]]))</f>
        <v>0</v>
      </c>
      <c r="D29" s="452">
        <f>SUMIFS(ACOAETME2022[[#All],[TOTAL Non-Truncated Unadjusted Expenses 
(A19+A21)]], ACOAETME2022[[#All],[Insurance Category Code]],1, ACOAETME2022[[#All],[ACO/AE or Insurer Overall Organization ID]], 100)-ABS(SUMIF(RxRebates22[[#All],[Insurance Category Code]],1,RxRebates22[[#All],[Total Pharmacy Rebates]]))</f>
        <v>0</v>
      </c>
      <c r="E29" s="90" t="str">
        <f>IFERROR(TMEbyMktNonTrunc[[#This Row],[2022]]/TMEbyMktNonTrunc[[#This Row],[2021]]-1,"NA")</f>
        <v>NA</v>
      </c>
      <c r="G29" s="54" t="s">
        <v>198</v>
      </c>
      <c r="H29" s="88" t="str">
        <f>IFERROR(TMEbyMktNonTrunc[[#This Row],[2021]]/C14,"NA")</f>
        <v>NA</v>
      </c>
      <c r="I29" s="88" t="str">
        <f>IFERROR(TMEbyMktNonTrunc[[#This Row],[2022]]/D14,"NA")</f>
        <v>NA</v>
      </c>
      <c r="J29" s="90" t="str">
        <f>IFERROR(TMEPMPMbyMkt[[#This Row],[2022]]/TMEPMPMbyMkt[[#This Row],[2021]]-1,"NA")</f>
        <v>NA</v>
      </c>
    </row>
    <row r="30" spans="2:10" x14ac:dyDescent="0.35">
      <c r="B30" s="54" t="s">
        <v>99</v>
      </c>
      <c r="C30" s="452">
        <f>SUMIFS(ACOAETME2021[[#All],[TOTAL Non-Truncated Unadjusted Expenses 
(A19+A21)]], ACOAETME2021[[#All],[Insurance Category Code]],5, ACOAETME2021[[#All],[ACO/AE or Insurer Overall Organization ID]], 100)-ABS(SUMIF(RxRebates21[[#All],[Insurance Category Code]],5,RxRebates21[[#All],[Total Pharmacy Rebates]]))</f>
        <v>0</v>
      </c>
      <c r="D30" s="452">
        <f>SUMIFS(ACOAETME2022[[#All],[TOTAL Non-Truncated Unadjusted Expenses 
(A19+A21)]], ACOAETME2022[[#All],[Insurance Category Code]],5, ACOAETME2022[[#All],[ACO/AE or Insurer Overall Organization ID]], 100)-ABS(SUMIF(RxRebates22[[#All],[Insurance Category Code]],5,RxRebates22[[#All],[Total Pharmacy Rebates]]))</f>
        <v>0</v>
      </c>
      <c r="E30" s="90" t="str">
        <f>IFERROR(TMEbyMktNonTrunc[[#This Row],[2022]]/TMEbyMktNonTrunc[[#This Row],[2021]]-1,"NA")</f>
        <v>NA</v>
      </c>
      <c r="G30" s="54" t="s">
        <v>99</v>
      </c>
      <c r="H30" s="88" t="str">
        <f>IFERROR(TMEbyMktNonTrunc[[#This Row],[2021]]/C15,"NA")</f>
        <v>NA</v>
      </c>
      <c r="I30" s="88" t="str">
        <f>IFERROR(TMEbyMktNonTrunc[[#This Row],[2022]]/D15,"NA")</f>
        <v>NA</v>
      </c>
      <c r="J30" s="90" t="str">
        <f>IFERROR(TMEPMPMbyMkt[[#This Row],[2022]]/TMEPMPMbyMkt[[#This Row],[2021]]-1,"NA")</f>
        <v>NA</v>
      </c>
    </row>
    <row r="31" spans="2:10" x14ac:dyDescent="0.35">
      <c r="B31" s="53" t="s">
        <v>199</v>
      </c>
      <c r="C31" s="452">
        <f>SUMIFS(ACOAETME2021[[#All],[TOTAL Non-Truncated Unadjusted Expenses 
(A19+A21)]], ACOAETME2021[[#All],[Insurance Category Code]],7, ACOAETME2021[[#All],[ACO/AE or Insurer Overall Organization ID]], 100)-ABS(SUMIF(RxRebates21[[#All],[Insurance Category Code]],7,RxRebates21[[#All],[Total Pharmacy Rebates]]))</f>
        <v>0</v>
      </c>
      <c r="D31" s="452">
        <f>SUMIFS(ACOAETME2022[[#All],[TOTAL Non-Truncated Unadjusted Expenses 
(A19+A21)]], ACOAETME2022[[#All],[Insurance Category Code]],7, ACOAETME2022[[#All],[ACO/AE or Insurer Overall Organization ID]], 100)-ABS(SUMIF(RxRebates22[[#All],[Insurance Category Code]],7,RxRebates22[[#All],[Total Pharmacy Rebates]]))</f>
        <v>0</v>
      </c>
      <c r="E31" s="90" t="str">
        <f>IFERROR(TMEbyMktNonTrunc[[#This Row],[2022]]/TMEbyMktNonTrunc[[#This Row],[2021]]-1,"NA")</f>
        <v>NA</v>
      </c>
      <c r="G31" s="53" t="s">
        <v>199</v>
      </c>
      <c r="H31" s="88" t="str">
        <f>IFERROR(TMEbyMktNonTrunc[[#This Row],[2021]]/C16,"NA")</f>
        <v>NA</v>
      </c>
      <c r="I31" s="88" t="str">
        <f>IFERROR(TMEbyMktNonTrunc[[#This Row],[2022]]/D16,"NA")</f>
        <v>NA</v>
      </c>
      <c r="J31" s="90" t="str">
        <f>IFERROR(TMEPMPMbyMkt[[#This Row],[2022]]/TMEPMPMbyMkt[[#This Row],[2021]]-1,"NA")</f>
        <v>NA</v>
      </c>
    </row>
    <row r="32" spans="2:10" x14ac:dyDescent="0.35">
      <c r="B32" s="53" t="s">
        <v>30</v>
      </c>
      <c r="C32" s="452">
        <f>SUMIFS(ACOAETME2021[[#All],[TOTAL Non-Truncated Unadjusted Expenses 
(A19+A21)]], ACOAETME2021[[#All],[Insurance Category Code]],8, ACOAETME2021[[#All],[ACO/AE or Insurer Overall Organization ID]], 100)-ABS(SUMIF(RxRebates21[[#All],[Insurance Category Code]],8,RxRebates21[[#All],[Total Pharmacy Rebates]]))</f>
        <v>0</v>
      </c>
      <c r="D32" s="452">
        <f>SUMIFS(ACOAETME2022[[#All],[TOTAL Non-Truncated Unadjusted Expenses 
(A19+A21)]], ACOAETME2022[[#All],[Insurance Category Code]],8, ACOAETME2022[[#All],[ACO/AE or Insurer Overall Organization ID]], 100)-ABS(SUMIF(RxRebates22[[#All],[Insurance Category Code]],8,RxRebates22[[#All],[Total Pharmacy Rebates]]))</f>
        <v>0</v>
      </c>
      <c r="E32" s="90" t="str">
        <f>IFERROR(TMEbyMktNonTrunc[[#This Row],[2022]]/TMEbyMktNonTrunc[[#This Row],[2021]]-1,"NA")</f>
        <v>NA</v>
      </c>
      <c r="G32" s="53" t="s">
        <v>30</v>
      </c>
      <c r="H32" s="88" t="str">
        <f>IFERROR(TMEbyMktNonTrunc[[#This Row],[2021]]/C17,"NA")</f>
        <v>NA</v>
      </c>
      <c r="I32" s="88" t="str">
        <f>IFERROR(TMEbyMktNonTrunc[[#This Row],[2022]]/D17,"NA")</f>
        <v>NA</v>
      </c>
      <c r="J32" s="90" t="str">
        <f>IFERROR(TMEPMPMbyMkt[[#This Row],[2022]]/TMEPMPMbyMkt[[#This Row],[2021]]-1,"NA")</f>
        <v>NA</v>
      </c>
    </row>
    <row r="33" spans="2:10" x14ac:dyDescent="0.35">
      <c r="B33" s="56" t="s">
        <v>255</v>
      </c>
      <c r="C33" s="476">
        <f>SUM(C22,C25,C28,C31,C32)</f>
        <v>0</v>
      </c>
      <c r="D33" s="476">
        <f>SUM(D22,D25,D28,D31,D32)</f>
        <v>0</v>
      </c>
      <c r="E33" s="91" t="str">
        <f>IFERROR(TMEbyMktNonTrunc[[#This Row],[2022]]/TMEbyMktNonTrunc[[#This Row],[2021]]-1,"NA")</f>
        <v>NA</v>
      </c>
      <c r="G33" s="56" t="s">
        <v>255</v>
      </c>
      <c r="H33" s="89" t="str">
        <f>IFERROR(TMEbyMktNonTrunc[[#This Row],[2021]]/C18,"NA")</f>
        <v>NA</v>
      </c>
      <c r="I33" s="89" t="str">
        <f>IFERROR(TMEbyMktNonTrunc[[#This Row],[2022]]/D18,"NA")</f>
        <v>NA</v>
      </c>
      <c r="J33" s="91" t="str">
        <f>IFERROR(TMEPMPMbyMkt[[#This Row],[2022]]/TMEPMPMbyMkt[[#This Row],[2021]]-1,"NA")</f>
        <v>NA</v>
      </c>
    </row>
    <row r="35" spans="2:10" ht="15.5" x14ac:dyDescent="0.35">
      <c r="B35" s="42" t="s">
        <v>575</v>
      </c>
      <c r="G35" s="42" t="s">
        <v>801</v>
      </c>
    </row>
    <row r="36" spans="2:10" x14ac:dyDescent="0.35">
      <c r="B36" s="57" t="s">
        <v>121</v>
      </c>
      <c r="C36" s="58" t="s">
        <v>525</v>
      </c>
      <c r="D36" s="58" t="s">
        <v>669</v>
      </c>
      <c r="E36" s="59" t="s">
        <v>115</v>
      </c>
      <c r="G36" s="57" t="s">
        <v>121</v>
      </c>
      <c r="H36" s="58" t="s">
        <v>525</v>
      </c>
      <c r="I36" s="58" t="s">
        <v>669</v>
      </c>
      <c r="J36" s="59" t="s">
        <v>115</v>
      </c>
    </row>
    <row r="37" spans="2:10" x14ac:dyDescent="0.35">
      <c r="B37" s="53" t="s">
        <v>123</v>
      </c>
      <c r="C37" s="452">
        <f>SUM(C38:C39)</f>
        <v>0</v>
      </c>
      <c r="D37" s="452">
        <f>SUM(D38:D39)</f>
        <v>0</v>
      </c>
      <c r="E37" s="90" t="str">
        <f>IFERROR(TMEbyMktTrunc[[#This Row],[2022]]/TMEbyMktTrunc[[#This Row],[2021]]-1,"NA")</f>
        <v>NA</v>
      </c>
      <c r="G37" s="53" t="s">
        <v>123</v>
      </c>
      <c r="H37" s="88" t="str">
        <f>IFERROR(TMEbyMktTrunc[[#This Row],[2021]]/C7,"NA")</f>
        <v>NA</v>
      </c>
      <c r="I37" s="88" t="str">
        <f>IFERROR(TMEbyMktTrunc[[#This Row],[2022]]/D7,"NA")</f>
        <v>NA</v>
      </c>
      <c r="J37" s="90" t="str">
        <f>IFERROR(RATMEPMPMbyMkt[[#This Row],[2022]]/RATMEPMPMbyMkt[[#This Row],[2021]]-1,"NA")</f>
        <v>NA</v>
      </c>
    </row>
    <row r="38" spans="2:10" x14ac:dyDescent="0.35">
      <c r="B38" s="54" t="s">
        <v>98</v>
      </c>
      <c r="C38" s="452">
        <f>SUMIFS(ACOAETME2021[[#All],[TOTAL Truncated Unadjusted Expenses (A20+A21)]], ACOAETME2021[[#All],[Insurance Category Code]],3,ACOAETME2021[[#All],[ACO/AE or Insurer Overall Organization ID]], 100)-ABS(SUMIF(RxRebates21[[#All],[Insurance Category Code]],3, RxRebates21[[#All],[Total Pharmacy Rebates]]))</f>
        <v>0</v>
      </c>
      <c r="D38" s="452">
        <f>SUMIFS(ACOAETME2022[[#All],[TOTAL Truncated Unadjusted Expenses (A20+A21)]], ACOAETME2022[[#All],[Insurance Category Code]],3,ACOAETME2022[[#All],[ACO/AE or Insurer Overall Organization ID]], 100)-ABS(SUMIF(RxRebates22[[#All],[Insurance Category Code]],3, RxRebates22[[#All],[Total Pharmacy Rebates]]))</f>
        <v>0</v>
      </c>
      <c r="E38" s="90" t="str">
        <f>IFERROR(TMEbyMktTrunc[[#This Row],[2022]]/TMEbyMktTrunc[[#This Row],[2021]]-1,"NA")</f>
        <v>NA</v>
      </c>
      <c r="G38" s="54" t="s">
        <v>98</v>
      </c>
      <c r="H38" s="88" t="str">
        <f>IFERROR(TMEbyMktTrunc[[#This Row],[2021]]/C8,"NA")</f>
        <v>NA</v>
      </c>
      <c r="I38" s="88" t="str">
        <f>IFERROR(TMEbyMktTrunc[[#This Row],[2022]]/D8,"NA")</f>
        <v>NA</v>
      </c>
      <c r="J38" s="90" t="str">
        <f>IFERROR(RATMEPMPMbyMkt[[#This Row],[2022]]/RATMEPMPMbyMkt[[#This Row],[2021]]-1,"NA")</f>
        <v>NA</v>
      </c>
    </row>
    <row r="39" spans="2:10" x14ac:dyDescent="0.35">
      <c r="B39" s="54" t="s">
        <v>127</v>
      </c>
      <c r="C39" s="452">
        <f>SUMIFS(ACOAETME2021[[#All],[TOTAL Truncated Unadjusted Expenses (A20+A21)]], ACOAETME2021[[#All],[Insurance Category Code]],4,ACOAETME2021[[#All],[ACO/AE or Insurer Overall Organization ID]], 100)-ABS(SUMIF(RxRebates21[[#All],[Insurance Category Code]],4, RxRebates21[[#All],[Total Pharmacy Rebates]]))</f>
        <v>0</v>
      </c>
      <c r="D39" s="452">
        <f>SUMIFS(ACOAETME2022[[#All],[TOTAL Truncated Unadjusted Expenses (A20+A21)]], ACOAETME2022[[#All],[Insurance Category Code]],4,ACOAETME2022[[#All],[ACO/AE or Insurer Overall Organization ID]], 100)-ABS(SUMIF(RxRebates22[[#All],[Insurance Category Code]],4, RxRebates22[[#All],[Total Pharmacy Rebates]]))</f>
        <v>0</v>
      </c>
      <c r="E39" s="90" t="str">
        <f>IFERROR(TMEbyMktTrunc[[#This Row],[2022]]/TMEbyMktTrunc[[#This Row],[2021]]-1,"NA")</f>
        <v>NA</v>
      </c>
      <c r="G39" s="54" t="s">
        <v>127</v>
      </c>
      <c r="H39" s="88" t="str">
        <f>IFERROR(TMEbyMktTrunc[[#This Row],[2021]]/C9,"NA")</f>
        <v>NA</v>
      </c>
      <c r="I39" s="88" t="str">
        <f>IFERROR(TMEbyMktTrunc[[#This Row],[2022]]/D9,"NA")</f>
        <v>NA</v>
      </c>
      <c r="J39" s="90" t="str">
        <f>IFERROR(RATMEPMPMbyMkt[[#This Row],[2022]]/RATMEPMPMbyMkt[[#This Row],[2021]]-1,"NA")</f>
        <v>NA</v>
      </c>
    </row>
    <row r="40" spans="2:10" x14ac:dyDescent="0.35">
      <c r="B40" s="53" t="s">
        <v>122</v>
      </c>
      <c r="C40" s="452">
        <f>SUM(C41:C42)</f>
        <v>0</v>
      </c>
      <c r="D40" s="452">
        <f>SUM(D41:D42)</f>
        <v>0</v>
      </c>
      <c r="E40" s="90" t="str">
        <f>IFERROR(TMEbyMktTrunc[[#This Row],[2022]]/TMEbyMktTrunc[[#This Row],[2021]]-1,"NA")</f>
        <v>NA</v>
      </c>
      <c r="G40" s="53" t="s">
        <v>122</v>
      </c>
      <c r="H40" s="88" t="str">
        <f>IFERROR(TMEbyMktTrunc[[#This Row],[2021]]/C10,"NA")</f>
        <v>NA</v>
      </c>
      <c r="I40" s="88" t="str">
        <f>IFERROR(TMEbyMktTrunc[[#This Row],[2022]]/D10,"NA")</f>
        <v>NA</v>
      </c>
      <c r="J40" s="90" t="str">
        <f>IFERROR(RATMEPMPMbyMkt[[#This Row],[2022]]/RATMEPMPMbyMkt[[#This Row],[2021]]-1,"NA")</f>
        <v>NA</v>
      </c>
    </row>
    <row r="41" spans="2:10" x14ac:dyDescent="0.35">
      <c r="B41" s="54" t="s">
        <v>197</v>
      </c>
      <c r="C41" s="452">
        <f>SUMIFS(ACOAETME2021[[#All],[TOTAL Truncated Unadjusted Expenses (A20+A21)]], ACOAETME2021[[#All],[Insurance Category Code]],2,ACOAETME2021[[#All],[ACO/AE or Insurer Overall Organization ID]], 100)-ABS(SUMIF(RxRebates21[[#All],[Insurance Category Code]],2, RxRebates21[[#All],[Total Pharmacy Rebates]]))</f>
        <v>0</v>
      </c>
      <c r="D41" s="452">
        <f>SUMIFS(ACOAETME2022[[#All],[TOTAL Truncated Unadjusted Expenses (A20+A21)]], ACOAETME2022[[#All],[Insurance Category Code]],2,ACOAETME2022[[#All],[ACO/AE or Insurer Overall Organization ID]], 100)-ABS(SUMIF(RxRebates22[[#All],[Insurance Category Code]],2, RxRebates22[[#All],[Total Pharmacy Rebates]]))</f>
        <v>0</v>
      </c>
      <c r="E41" s="90" t="str">
        <f>IFERROR(TMEbyMktTrunc[[#This Row],[2022]]/TMEbyMktTrunc[[#This Row],[2021]]-1,"NA")</f>
        <v>NA</v>
      </c>
      <c r="G41" s="54" t="s">
        <v>197</v>
      </c>
      <c r="H41" s="88" t="str">
        <f>IFERROR(TMEbyMktTrunc[[#This Row],[2021]]/C11,"NA")</f>
        <v>NA</v>
      </c>
      <c r="I41" s="88" t="str">
        <f>IFERROR(TMEbyMktTrunc[[#This Row],[2022]]/D11,"NA")</f>
        <v>NA</v>
      </c>
      <c r="J41" s="90" t="str">
        <f>IFERROR(RATMEPMPMbyMkt[[#This Row],[2022]]/RATMEPMPMbyMkt[[#This Row],[2021]]-1,"NA")</f>
        <v>NA</v>
      </c>
    </row>
    <row r="42" spans="2:10" x14ac:dyDescent="0.35">
      <c r="B42" s="54" t="s">
        <v>100</v>
      </c>
      <c r="C42" s="452">
        <f>SUMIFS(ACOAETME2021[[#All],[TOTAL Truncated Unadjusted Expenses (A20+A21)]], ACOAETME2021[[#All],[Insurance Category Code]],6,ACOAETME2021[[#All],[ACO/AE or Insurer Overall Organization ID]], 100)-ABS(SUMIF(RxRebates21[[#All],[Insurance Category Code]],6, RxRebates21[[#All],[Total Pharmacy Rebates]]))</f>
        <v>0</v>
      </c>
      <c r="D42" s="452">
        <f>SUMIFS(ACOAETME2022[[#All],[TOTAL Truncated Unadjusted Expenses (A20+A21)]], ACOAETME2022[[#All],[Insurance Category Code]],6,ACOAETME2022[[#All],[ACO/AE or Insurer Overall Organization ID]], 100)-ABS(SUMIF(RxRebates22[[#All],[Insurance Category Code]],6, RxRebates22[[#All],[Total Pharmacy Rebates]]))</f>
        <v>0</v>
      </c>
      <c r="E42" s="90" t="str">
        <f>IFERROR(TMEbyMktTrunc[[#This Row],[2022]]/TMEbyMktTrunc[[#This Row],[2021]]-1,"NA")</f>
        <v>NA</v>
      </c>
      <c r="G42" s="54" t="s">
        <v>100</v>
      </c>
      <c r="H42" s="88" t="str">
        <f>IFERROR(TMEbyMktTrunc[[#This Row],[2021]]/C12,"NA")</f>
        <v>NA</v>
      </c>
      <c r="I42" s="88" t="str">
        <f>IFERROR(TMEbyMktTrunc[[#This Row],[2022]]/D12,"NA")</f>
        <v>NA</v>
      </c>
      <c r="J42" s="90" t="str">
        <f>IFERROR(RATMEPMPMbyMkt[[#This Row],[2022]]/RATMEPMPMbyMkt[[#This Row],[2021]]-1,"NA")</f>
        <v>NA</v>
      </c>
    </row>
    <row r="43" spans="2:10" x14ac:dyDescent="0.35">
      <c r="B43" s="55" t="s">
        <v>124</v>
      </c>
      <c r="C43" s="452">
        <f>SUM(C44:C45)</f>
        <v>0</v>
      </c>
      <c r="D43" s="452">
        <f>SUM(D44:D45)</f>
        <v>0</v>
      </c>
      <c r="E43" s="90" t="str">
        <f>IFERROR(TMEbyMktTrunc[[#This Row],[2022]]/TMEbyMktTrunc[[#This Row],[2021]]-1,"NA")</f>
        <v>NA</v>
      </c>
      <c r="G43" s="55" t="s">
        <v>124</v>
      </c>
      <c r="H43" s="88" t="str">
        <f>IFERROR(TMEbyMktTrunc[[#This Row],[2021]]/C13,"NA")</f>
        <v>NA</v>
      </c>
      <c r="I43" s="88" t="str">
        <f>IFERROR(TMEbyMktTrunc[[#This Row],[2022]]/D13,"NA")</f>
        <v>NA</v>
      </c>
      <c r="J43" s="90" t="str">
        <f>IFERROR(RATMEPMPMbyMkt[[#This Row],[2022]]/RATMEPMPMbyMkt[[#This Row],[2021]]-1,"NA")</f>
        <v>NA</v>
      </c>
    </row>
    <row r="44" spans="2:10" x14ac:dyDescent="0.35">
      <c r="B44" s="54" t="s">
        <v>198</v>
      </c>
      <c r="C44" s="452">
        <f>SUMIFS(ACOAETME2021[[#All],[TOTAL Truncated Unadjusted Expenses (A20+A21)]], ACOAETME2021[[#All],[Insurance Category Code]],1,ACOAETME2021[[#All],[ACO/AE or Insurer Overall Organization ID]], 100)-ABS(SUMIF(RxRebates21[[#All],[Insurance Category Code]],1, RxRebates21[[#All],[Total Pharmacy Rebates]]))</f>
        <v>0</v>
      </c>
      <c r="D44" s="452">
        <f>SUMIFS(ACOAETME2022[[#All],[TOTAL Truncated Unadjusted Expenses (A20+A21)]], ACOAETME2022[[#All],[Insurance Category Code]],1,ACOAETME2022[[#All],[ACO/AE or Insurer Overall Organization ID]], 100)-ABS(SUMIF(RxRebates22[[#All],[Insurance Category Code]],1, RxRebates22[[#All],[Total Pharmacy Rebates]]))</f>
        <v>0</v>
      </c>
      <c r="E44" s="90" t="str">
        <f>IFERROR(TMEbyMktTrunc[[#This Row],[2022]]/TMEbyMktTrunc[[#This Row],[2021]]-1,"NA")</f>
        <v>NA</v>
      </c>
      <c r="G44" s="54" t="s">
        <v>198</v>
      </c>
      <c r="H44" s="88" t="str">
        <f>IFERROR(TMEbyMktTrunc[[#This Row],[2021]]/C14,"NA")</f>
        <v>NA</v>
      </c>
      <c r="I44" s="88" t="str">
        <f>IFERROR(TMEbyMktTrunc[[#This Row],[2022]]/D14,"NA")</f>
        <v>NA</v>
      </c>
      <c r="J44" s="90" t="str">
        <f>IFERROR(RATMEPMPMbyMkt[[#This Row],[2022]]/RATMEPMPMbyMkt[[#This Row],[2021]]-1,"NA")</f>
        <v>NA</v>
      </c>
    </row>
    <row r="45" spans="2:10" x14ac:dyDescent="0.35">
      <c r="B45" s="54" t="s">
        <v>99</v>
      </c>
      <c r="C45" s="452">
        <f>SUMIFS(ACOAETME2021[[#All],[TOTAL Truncated Unadjusted Expenses (A20+A21)]], ACOAETME2021[[#All],[Insurance Category Code]],5,ACOAETME2021[[#All],[ACO/AE or Insurer Overall Organization ID]], 100)-ABS(SUMIF(RxRebates21[[#All],[Insurance Category Code]],5, RxRebates21[[#All],[Total Pharmacy Rebates]]))</f>
        <v>0</v>
      </c>
      <c r="D45" s="452">
        <f>SUMIFS(ACOAETME2022[[#All],[TOTAL Truncated Unadjusted Expenses (A20+A21)]], ACOAETME2022[[#All],[Insurance Category Code]],5,ACOAETME2022[[#All],[ACO/AE or Insurer Overall Organization ID]], 100)-ABS(SUMIF(RxRebates22[[#All],[Insurance Category Code]],5, RxRebates22[[#All],[Total Pharmacy Rebates]]))</f>
        <v>0</v>
      </c>
      <c r="E45" s="90" t="str">
        <f>IFERROR(TMEbyMktTrunc[[#This Row],[2022]]/TMEbyMktTrunc[[#This Row],[2021]]-1,"NA")</f>
        <v>NA</v>
      </c>
      <c r="G45" s="54" t="s">
        <v>99</v>
      </c>
      <c r="H45" s="88" t="str">
        <f>IFERROR(TMEbyMktTrunc[[#This Row],[2021]]/C15,"NA")</f>
        <v>NA</v>
      </c>
      <c r="I45" s="88" t="str">
        <f>IFERROR(TMEbyMktTrunc[[#This Row],[2022]]/D15,"NA")</f>
        <v>NA</v>
      </c>
      <c r="J45" s="90" t="str">
        <f>IFERROR(RATMEPMPMbyMkt[[#This Row],[2022]]/RATMEPMPMbyMkt[[#This Row],[2021]]-1,"NA")</f>
        <v>NA</v>
      </c>
    </row>
    <row r="46" spans="2:10" x14ac:dyDescent="0.35">
      <c r="B46" s="53" t="s">
        <v>199</v>
      </c>
      <c r="C46" s="452">
        <f>SUMIFS(ACOAETME2021[[#All],[TOTAL Truncated Unadjusted Expenses (A20+A21)]], ACOAETME2021[[#All],[Insurance Category Code]],7,ACOAETME2021[[#All],[ACO/AE or Insurer Overall Organization ID]], 100)-ABS(SUMIF(RxRebates21[[#All],[Insurance Category Code]],7, RxRebates21[[#All],[Total Pharmacy Rebates]]))</f>
        <v>0</v>
      </c>
      <c r="D46" s="452">
        <f>SUMIFS(ACOAETME2022[[#All],[TOTAL Truncated Unadjusted Expenses (A20+A21)]], ACOAETME2022[[#All],[Insurance Category Code]],7,ACOAETME2022[[#All],[ACO/AE or Insurer Overall Organization ID]], 100)-ABS(SUMIF(RxRebates22[[#All],[Insurance Category Code]],7, RxRebates22[[#All],[Total Pharmacy Rebates]]))</f>
        <v>0</v>
      </c>
      <c r="E46" s="90" t="str">
        <f>IFERROR(TMEbyMktTrunc[[#This Row],[2022]]/TMEbyMktTrunc[[#This Row],[2021]]-1,"NA")</f>
        <v>NA</v>
      </c>
      <c r="G46" s="53" t="s">
        <v>199</v>
      </c>
      <c r="H46" s="88" t="str">
        <f>IFERROR(TMEbyMktTrunc[[#This Row],[2021]]/C16,"NA")</f>
        <v>NA</v>
      </c>
      <c r="I46" s="88" t="str">
        <f>IFERROR(TMEbyMktTrunc[[#This Row],[2022]]/D16,"NA")</f>
        <v>NA</v>
      </c>
      <c r="J46" s="90" t="str">
        <f>IFERROR(RATMEPMPMbyMkt[[#This Row],[2022]]/RATMEPMPMbyMkt[[#This Row],[2021]]-1,"NA")</f>
        <v>NA</v>
      </c>
    </row>
    <row r="47" spans="2:10" x14ac:dyDescent="0.35">
      <c r="B47" s="53" t="s">
        <v>30</v>
      </c>
      <c r="C47" s="452">
        <f>SUMIFS(ACOAETME2021[TOTAL Truncated Unadjusted Expenses (A20+A21)], ACOAETME2021[Insurance Category Code],8,ACOAETME2021[ACO/AE or Insurer Overall Organization ID], 100)-ABS(SUMIF(RxRebates21[Insurance Category Code],8, RxRebates21[Total Pharmacy Rebates]))</f>
        <v>0</v>
      </c>
      <c r="D47" s="452">
        <f>SUMIFS(ACOAETME2022[[#All],[TOTAL Truncated Unadjusted Expenses (A20+A21)]], ACOAETME2022[[#All],[Insurance Category Code]],8,ACOAETME2022[[#All],[ACO/AE or Insurer Overall Organization ID]], 100)-ABS(SUMIF(RxRebates22[[#All],[Insurance Category Code]],8, RxRebates22[[#All],[Total Pharmacy Rebates]]))</f>
        <v>0</v>
      </c>
      <c r="E47" s="90" t="str">
        <f>IFERROR(TMEbyMktTrunc[[#This Row],[2022]]/TMEbyMktTrunc[[#This Row],[2021]]-1,"NA")</f>
        <v>NA</v>
      </c>
      <c r="G47" s="53" t="s">
        <v>30</v>
      </c>
      <c r="H47" s="88" t="str">
        <f>IFERROR(TMEbyMktTrunc[[#This Row],[2021]]/C17,"NA")</f>
        <v>NA</v>
      </c>
      <c r="I47" s="88" t="str">
        <f>IFERROR(TMEbyMktTrunc[[#This Row],[2022]]/D17,"NA")</f>
        <v>NA</v>
      </c>
      <c r="J47" s="90" t="str">
        <f>IFERROR(RATMEPMPMbyMkt[[#This Row],[2022]]/RATMEPMPMbyMkt[[#This Row],[2021]]-1,"NA")</f>
        <v>NA</v>
      </c>
    </row>
    <row r="48" spans="2:10" x14ac:dyDescent="0.35">
      <c r="B48" s="56" t="s">
        <v>255</v>
      </c>
      <c r="C48" s="476">
        <f>SUM(C37,C40,C43,C46,C47)</f>
        <v>0</v>
      </c>
      <c r="D48" s="476">
        <f>SUM(D37,D40,D43,D46,D47)</f>
        <v>0</v>
      </c>
      <c r="E48" s="91" t="str">
        <f>IFERROR(TMEbyMktTrunc[[#This Row],[2022]]/TMEbyMktTrunc[[#This Row],[2021]]-1,"NA")</f>
        <v>NA</v>
      </c>
      <c r="G48" s="56" t="s">
        <v>255</v>
      </c>
      <c r="H48" s="89" t="str">
        <f>IFERROR(TMEbyMktTrunc[[#This Row],[2021]]/C18,"NA")</f>
        <v>NA</v>
      </c>
      <c r="I48" s="89" t="str">
        <f>IFERROR(TMEbyMktTrunc[[#This Row],[2022]]/D18,"NA")</f>
        <v>NA</v>
      </c>
      <c r="J48" s="91" t="str">
        <f>IFERROR(RATMEPMPMbyMkt[[#This Row],[2022]]/RATMEPMPMbyMkt[[#This Row],[2021]]-1,"NA")</f>
        <v>NA</v>
      </c>
    </row>
    <row r="50" spans="2:15" ht="15.5" x14ac:dyDescent="0.35">
      <c r="B50" s="42" t="s">
        <v>130</v>
      </c>
      <c r="G50" s="42" t="s">
        <v>131</v>
      </c>
      <c r="L50" s="42" t="s">
        <v>132</v>
      </c>
    </row>
    <row r="51" spans="2:15" x14ac:dyDescent="0.35">
      <c r="B51" s="46" t="s">
        <v>583</v>
      </c>
      <c r="G51" s="46" t="s">
        <v>583</v>
      </c>
      <c r="L51" s="46" t="s">
        <v>583</v>
      </c>
    </row>
    <row r="52" spans="2:15" x14ac:dyDescent="0.35">
      <c r="B52" s="61" t="s">
        <v>116</v>
      </c>
      <c r="C52" s="62" t="s">
        <v>525</v>
      </c>
      <c r="D52" s="62" t="s">
        <v>669</v>
      </c>
      <c r="E52" s="63" t="s">
        <v>115</v>
      </c>
      <c r="G52" s="64" t="s">
        <v>116</v>
      </c>
      <c r="H52" s="65" t="s">
        <v>525</v>
      </c>
      <c r="I52" s="65" t="s">
        <v>669</v>
      </c>
      <c r="J52" s="66" t="s">
        <v>115</v>
      </c>
      <c r="L52" s="67" t="s">
        <v>116</v>
      </c>
      <c r="M52" s="68" t="s">
        <v>525</v>
      </c>
      <c r="N52" s="68" t="s">
        <v>669</v>
      </c>
      <c r="O52" s="69" t="s">
        <v>115</v>
      </c>
    </row>
    <row r="53" spans="2:15" x14ac:dyDescent="0.35">
      <c r="B53" s="53" t="s">
        <v>87</v>
      </c>
      <c r="C53" s="195">
        <f>IFERROR(SUM(H53,M53),"NA")</f>
        <v>0</v>
      </c>
      <c r="D53" s="195">
        <f>IFERROR(SUM(I53,N53),"NA")</f>
        <v>0</v>
      </c>
      <c r="E53" s="100" t="str">
        <f>IFERROR(ComTotTME[[#This Row],[2022]]/ComTotTME[[#This Row],[2021]]-1,"NA")</f>
        <v>NA</v>
      </c>
      <c r="G53" s="53" t="s">
        <v>87</v>
      </c>
      <c r="H53" s="194">
        <f>SUMIFS(ACOAETME2021[[#All],[Member Months]], ACOAETME2021[[#All],[Insurance Category Code]],3, ACOAETME2021[[#All],[ACO/AE or Insurer Overall Organization ID]], 100)</f>
        <v>0</v>
      </c>
      <c r="I53" s="194">
        <f>SUMIFS(ACOAETME2022[[#All],[Member Months]], ACOAETME2022[[#All],[Insurance Category Code]],3, ACOAETME2022[[#All],[ACO/AE or Insurer Overall Organization ID]], 100)</f>
        <v>0</v>
      </c>
      <c r="J53" s="90" t="str">
        <f>IFERROR(ICC3TME[[#This Row],[2022]]/ICC3TME[[#This Row],[2021]]-1,"NA")</f>
        <v>NA</v>
      </c>
      <c r="L53" s="53" t="s">
        <v>87</v>
      </c>
      <c r="M53" s="194">
        <f>SUMIFS(ACOAETME2021[[#All],[Member Months]], ACOAETME2021[[#All],[Insurance Category Code]],4, ACOAETME2021[[#All],[ACO/AE or Insurer Overall Organization ID]], 100)</f>
        <v>0</v>
      </c>
      <c r="N53" s="194">
        <f>SUMIFS(ACOAETME2022[[#All],[Member Months]], ACOAETME2022[[#All],[Insurance Category Code]],4, ACOAETME2022[[#All],[ACO/AE or Insurer Overall Organization ID]], 100)</f>
        <v>0</v>
      </c>
      <c r="O53" s="90" t="str">
        <f>IFERROR(ICC4TME[[#This Row],[2022]]/ICC4TME[[#This Row],[2021]]-1,"NA")</f>
        <v>NA</v>
      </c>
    </row>
    <row r="54" spans="2:15" x14ac:dyDescent="0.35">
      <c r="B54" s="53" t="s">
        <v>12</v>
      </c>
      <c r="C54" s="99" t="str">
        <f t="shared" ref="C54:C76" si="0">IFERROR((SUMPRODUCT(H54,$H$53)+SUMPRODUCT(M54,$M$53))/$C$53,"NA")</f>
        <v>NA</v>
      </c>
      <c r="D54" s="99" t="str">
        <f t="shared" ref="D54:D62" si="1">IFERROR((SUMPRODUCT(I54,$I$53)+SUMPRODUCT(N54,$N$53))/$D$53,"NA")</f>
        <v>NA</v>
      </c>
      <c r="E54" s="100" t="str">
        <f>IFERROR(ComTotTME[[#This Row],[2022]]/ComTotTME[[#This Row],[2021]]-1,"NA")</f>
        <v>NA</v>
      </c>
      <c r="G54" s="53" t="s">
        <v>12</v>
      </c>
      <c r="H54" s="99" t="str">
        <f>IFERROR((SUMIFS(ACOAETME2021[[#All],[Claims: Hospital Inpatient]], ACOAETME2021[[#All],[Insurance Category Code]],3,ACOAETME2021[[#All],[ACO/AE or Insurer Overall Organization ID]], 100))/H53,"NA")</f>
        <v>NA</v>
      </c>
      <c r="I54" s="99" t="str">
        <f>IFERROR((SUMIFS(ACOAETME2022[[#All],[Claims: Hospital Inpatient]], ACOAETME2022[[#All],[Insurance Category Code]],3,ACOAETME2022[[#All],[ACO/AE or Insurer Overall Organization ID]], 100))/I53,"NA")</f>
        <v>NA</v>
      </c>
      <c r="J54" s="90" t="str">
        <f>IFERROR(ICC3TME[[#This Row],[2022]]/ICC3TME[[#This Row],[2021]]-1,"NA")</f>
        <v>NA</v>
      </c>
      <c r="L54" s="53" t="s">
        <v>12</v>
      </c>
      <c r="M54" s="99" t="str">
        <f>IFERROR((SUMIFS(ACOAETME2021[[#All],[Claims: Hospital Inpatient]], ACOAETME2021[[#All],[Insurance Category Code]],4,ACOAETME2021[[#All],[ACO/AE or Insurer Overall Organization ID]], 100))/M53,"NA")</f>
        <v>NA</v>
      </c>
      <c r="N54" s="99" t="str">
        <f>IFERROR((SUMIFS(ACOAETME2022[[#All],[Claims: Hospital Inpatient]], ACOAETME2022[[#All],[Insurance Category Code]],4,ACOAETME2022[[#All],[ACO/AE or Insurer Overall Organization ID]], 100))/N53,"NA")</f>
        <v>NA</v>
      </c>
      <c r="O54" s="100" t="str">
        <f>IFERROR(ICC4TME[[#This Row],[2022]]/ICC4TME[[#This Row],[2021]]-1,"NA")</f>
        <v>NA</v>
      </c>
    </row>
    <row r="55" spans="2:15" x14ac:dyDescent="0.35">
      <c r="B55" s="53" t="s">
        <v>13</v>
      </c>
      <c r="C55" s="99" t="str">
        <f t="shared" si="0"/>
        <v>NA</v>
      </c>
      <c r="D55" s="99" t="str">
        <f t="shared" si="1"/>
        <v>NA</v>
      </c>
      <c r="E55" s="100" t="str">
        <f>IFERROR(ComTotTME[[#This Row],[2022]]/ComTotTME[[#This Row],[2021]]-1,"NA")</f>
        <v>NA</v>
      </c>
      <c r="G55" s="53" t="s">
        <v>13</v>
      </c>
      <c r="H55" s="99" t="str">
        <f>IFERROR((SUMIFS(ACOAETME2021[[#All],[Claims: Hospital Outpatient]], ACOAETME2021[[#All],[Insurance Category Code]],3,ACOAETME2021[[#All],[ACO/AE or Insurer Overall Organization ID]], 100))/H53,"NA")</f>
        <v>NA</v>
      </c>
      <c r="I55" s="99" t="str">
        <f>IFERROR((SUMIFS(ACOAETME2022[[#All],[Claims: Hospital Outpatient]], ACOAETME2022[[#All],[Insurance Category Code]],3,ACOAETME2022[[#All],[ACO/AE or Insurer Overall Organization ID]], 100))/I53,"NA")</f>
        <v>NA</v>
      </c>
      <c r="J55" s="90" t="str">
        <f>IFERROR(ICC3TME[[#This Row],[2022]]/ICC3TME[[#This Row],[2021]]-1,"NA")</f>
        <v>NA</v>
      </c>
      <c r="L55" s="53" t="s">
        <v>13</v>
      </c>
      <c r="M55" s="99" t="str">
        <f>IFERROR((SUMIFS(ACOAETME2021[[#All],[Claims: Hospital Outpatient]], ACOAETME2021[[#All],[Insurance Category Code]],4,ACOAETME2021[[#All],[ACO/AE or Insurer Overall Organization ID]], 100))/M53,"NA")</f>
        <v>NA</v>
      </c>
      <c r="N55" s="99" t="str">
        <f>IFERROR((SUMIFS(ACOAETME2022[[#All],[Claims: Hospital Outpatient]], ACOAETME2022[[#All],[Insurance Category Code]],4,ACOAETME2022[[#All],[ACO/AE or Insurer Overall Organization ID]], 100))/N53,"NA")</f>
        <v>NA</v>
      </c>
      <c r="O55" s="100" t="str">
        <f>IFERROR(ICC4TME[[#This Row],[2022]]/ICC4TME[[#This Row],[2021]]-1,"NA")</f>
        <v>NA</v>
      </c>
    </row>
    <row r="56" spans="2:15" x14ac:dyDescent="0.35">
      <c r="B56" s="53" t="s">
        <v>14</v>
      </c>
      <c r="C56" s="99" t="str">
        <f t="shared" si="0"/>
        <v>NA</v>
      </c>
      <c r="D56" s="99" t="str">
        <f t="shared" si="1"/>
        <v>NA</v>
      </c>
      <c r="E56" s="100" t="str">
        <f>IFERROR(ComTotTME[[#This Row],[2022]]/ComTotTME[[#This Row],[2021]]-1,"NA")</f>
        <v>NA</v>
      </c>
      <c r="G56" s="53" t="s">
        <v>14</v>
      </c>
      <c r="H56" s="99" t="str">
        <f>IFERROR((SUMIFS(ACOAETME2021[[#All],[Claims: Professional, Primary Care]], ACOAETME2021[[#All],[Insurance Category Code]],3,ACOAETME2021[[#All],[ACO/AE or Insurer Overall Organization ID]], 100))/H53,"NA")</f>
        <v>NA</v>
      </c>
      <c r="I56" s="99" t="str">
        <f>IFERROR((SUMIFS(ACOAETME2022[[#All],[Claims: Professional, Primary Care]], ACOAETME2022[[#All],[Insurance Category Code]],3,ACOAETME2022[[#All],[ACO/AE or Insurer Overall Organization ID]], 100))/I53,"NA")</f>
        <v>NA</v>
      </c>
      <c r="J56" s="90" t="str">
        <f>IFERROR(ICC3TME[[#This Row],[2022]]/ICC3TME[[#This Row],[2021]]-1,"NA")</f>
        <v>NA</v>
      </c>
      <c r="L56" s="53" t="s">
        <v>14</v>
      </c>
      <c r="M56" s="99" t="str">
        <f>IFERROR((SUMIFS(ACOAETME2021[[#All],[Claims: Professional, Primary Care]], ACOAETME2021[[#All],[Insurance Category Code]],4,ACOAETME2021[[#All],[ACO/AE or Insurer Overall Organization ID]], 100))/M53,"NA")</f>
        <v>NA</v>
      </c>
      <c r="N56" s="99" t="str">
        <f>IFERROR((SUMIFS(ACOAETME2022[[#All],[Claims: Professional, Primary Care]], ACOAETME2022[[#All],[Insurance Category Code]],4,ACOAETME2022[[#All],[ACO/AE or Insurer Overall Organization ID]], 100))/N53,"NA")</f>
        <v>NA</v>
      </c>
      <c r="O56" s="100" t="str">
        <f>IFERROR(ICC4TME[[#This Row],[2022]]/ICC4TME[[#This Row],[2021]]-1,"NA")</f>
        <v>NA</v>
      </c>
    </row>
    <row r="57" spans="2:15" x14ac:dyDescent="0.35">
      <c r="B57" s="53" t="s">
        <v>15</v>
      </c>
      <c r="C57" s="99" t="str">
        <f t="shared" si="0"/>
        <v>NA</v>
      </c>
      <c r="D57" s="99" t="str">
        <f t="shared" si="1"/>
        <v>NA</v>
      </c>
      <c r="E57" s="100" t="str">
        <f>IFERROR(ComTotTME[[#This Row],[2022]]/ComTotTME[[#This Row],[2021]]-1,"NA")</f>
        <v>NA</v>
      </c>
      <c r="G57" s="53" t="s">
        <v>15</v>
      </c>
      <c r="H57" s="99" t="str">
        <f>IFERROR((SUMIFS(ACOAETME2021[[#All],[Claims: Professional, Specialty Care]], ACOAETME2021[[#All],[Insurance Category Code]],3,ACOAETME2021[[#All],[ACO/AE or Insurer Overall Organization ID]], 100))/H53,"NA")</f>
        <v>NA</v>
      </c>
      <c r="I57" s="99" t="str">
        <f>IFERROR((SUMIFS(ACOAETME2022[[#All],[Claims: Professional, Specialty Care]], ACOAETME2022[[#All],[Insurance Category Code]],3,ACOAETME2022[[#All],[ACO/AE or Insurer Overall Organization ID]], 100))/I53,"NA")</f>
        <v>NA</v>
      </c>
      <c r="J57" s="90" t="str">
        <f>IFERROR(ICC3TME[[#This Row],[2022]]/ICC3TME[[#This Row],[2021]]-1,"NA")</f>
        <v>NA</v>
      </c>
      <c r="L57" s="53" t="s">
        <v>15</v>
      </c>
      <c r="M57" s="99" t="str">
        <f>IFERROR((SUMIFS(ACOAETME2021[[#All],[Claims: Professional, Specialty Care]], ACOAETME2021[[#All],[Insurance Category Code]],4,ACOAETME2021[[#All],[ACO/AE or Insurer Overall Organization ID]], 100))/M53,"NA")</f>
        <v>NA</v>
      </c>
      <c r="N57" s="99" t="str">
        <f>IFERROR((SUMIFS(ACOAETME2022[[#All],[Claims: Professional, Specialty Care]], ACOAETME2022[[#All],[Insurance Category Code]],4,ACOAETME2022[[#All],[ACO/AE or Insurer Overall Organization ID]], 100))/N53,"NA")</f>
        <v>NA</v>
      </c>
      <c r="O57" s="100" t="str">
        <f>IFERROR(ICC4TME[[#This Row],[2022]]/ICC4TME[[#This Row],[2021]]-1,"NA")</f>
        <v>NA</v>
      </c>
    </row>
    <row r="58" spans="2:15" x14ac:dyDescent="0.35">
      <c r="B58" s="53" t="s">
        <v>16</v>
      </c>
      <c r="C58" s="99" t="str">
        <f t="shared" si="0"/>
        <v>NA</v>
      </c>
      <c r="D58" s="99" t="str">
        <f t="shared" si="1"/>
        <v>NA</v>
      </c>
      <c r="E58" s="100" t="str">
        <f>IFERROR(ComTotTME[[#This Row],[2022]]/ComTotTME[[#This Row],[2021]]-1,"NA")</f>
        <v>NA</v>
      </c>
      <c r="G58" s="53" t="s">
        <v>16</v>
      </c>
      <c r="H58" s="99" t="str">
        <f>IFERROR((SUMIFS(ACOAETME2021[[#All],[Claims: Professional Other]], ACOAETME2021[[#All],[Insurance Category Code]],3,ACOAETME2021[[#All],[ACO/AE or Insurer Overall Organization ID]], 100))/H53,"NA")</f>
        <v>NA</v>
      </c>
      <c r="I58" s="99" t="str">
        <f>IFERROR((SUMIFS(ACOAETME2022[[#All],[Claims: Professional Other]], ACOAETME2022[[#All],[Insurance Category Code]],3,ACOAETME2022[[#All],[ACO/AE or Insurer Overall Organization ID]], 100))/I53,"NA")</f>
        <v>NA</v>
      </c>
      <c r="J58" s="90" t="str">
        <f>IFERROR(ICC3TME[[#This Row],[2022]]/ICC3TME[[#This Row],[2021]]-1,"NA")</f>
        <v>NA</v>
      </c>
      <c r="L58" s="53" t="s">
        <v>16</v>
      </c>
      <c r="M58" s="99" t="str">
        <f>IFERROR((SUMIFS(ACOAETME2021[[#All],[Claims: Professional Other]], ACOAETME2021[[#All],[Insurance Category Code]],4,ACOAETME2021[[#All],[ACO/AE or Insurer Overall Organization ID]], 100))/M53,"NA")</f>
        <v>NA</v>
      </c>
      <c r="N58" s="99" t="str">
        <f>IFERROR((SUMIFS(ACOAETME2022[[#All],[Claims: Professional Other]], ACOAETME2022[[#All],[Insurance Category Code]],4,ACOAETME2022[[#All],[ACO/AE or Insurer Overall Organization ID]], 100))/N53,"NA")</f>
        <v>NA</v>
      </c>
      <c r="O58" s="100" t="str">
        <f>IFERROR(ICC4TME[[#This Row],[2022]]/ICC4TME[[#This Row],[2021]]-1,"NA")</f>
        <v>NA</v>
      </c>
    </row>
    <row r="59" spans="2:15" x14ac:dyDescent="0.35">
      <c r="B59" s="53" t="s">
        <v>256</v>
      </c>
      <c r="C59" s="99" t="str">
        <f t="shared" si="0"/>
        <v>NA</v>
      </c>
      <c r="D59" s="99" t="str">
        <f t="shared" si="1"/>
        <v>NA</v>
      </c>
      <c r="E59" s="100" t="str">
        <f>IFERROR(ComTotTME[[#This Row],[2022]]/ComTotTME[[#This Row],[2021]]-1,"NA")</f>
        <v>NA</v>
      </c>
      <c r="G59" s="53" t="s">
        <v>256</v>
      </c>
      <c r="H59" s="99" t="str">
        <f>IFERROR((SUMIFS(ACOAETME2021[[#All],[Claims: Pharmacy]], ACOAETME2021[[#All],[Insurance Category Code]],3,ACOAETME2021[[#All],[ACO/AE or Insurer Overall Organization ID]], 100))/H53,"NA")</f>
        <v>NA</v>
      </c>
      <c r="I59" s="99" t="str">
        <f>IFERROR((SUMIFS(ACOAETME2022[[#All],[Claims: Pharmacy]], ACOAETME2022[[#All],[Insurance Category Code]],3,ACOAETME2022[[#All],[ACO/AE or Insurer Overall Organization ID]], 100))/I53,"NA")</f>
        <v>NA</v>
      </c>
      <c r="J59" s="90" t="str">
        <f>IFERROR(ICC3TME[[#This Row],[2022]]/ICC3TME[[#This Row],[2021]]-1,"NA")</f>
        <v>NA</v>
      </c>
      <c r="L59" s="53" t="s">
        <v>256</v>
      </c>
      <c r="M59" s="99" t="str">
        <f>IFERROR((SUMIFS(ACOAETME2021[[#All],[Claims: Pharmacy]], ACOAETME2021[[#All],[Insurance Category Code]],4,ACOAETME2021[[#All],[ACO/AE or Insurer Overall Organization ID]], 100))/M53,"NA")</f>
        <v>NA</v>
      </c>
      <c r="N59" s="99" t="str">
        <f>IFERROR((SUMIFS(ACOAETME2022[[#All],[Claims: Pharmacy]], ACOAETME2022[[#All],[Insurance Category Code]],4,ACOAETME2022[[#All],[ACO/AE or Insurer Overall Organization ID]], 100))/N53,"NA")</f>
        <v>NA</v>
      </c>
      <c r="O59" s="100" t="str">
        <f>IFERROR(ICC4TME[[#This Row],[2022]]/ICC4TME[[#This Row],[2021]]-1,"NA")</f>
        <v>NA</v>
      </c>
    </row>
    <row r="60" spans="2:15" x14ac:dyDescent="0.35">
      <c r="B60" s="101" t="s">
        <v>257</v>
      </c>
      <c r="C60" s="99" t="str">
        <f t="shared" si="0"/>
        <v>NA</v>
      </c>
      <c r="D60" s="99" t="str">
        <f t="shared" si="1"/>
        <v>NA</v>
      </c>
      <c r="E60" s="100" t="str">
        <f>IFERROR(ComTotTME[[#This Row],[2022]]/ComTotTME[[#This Row],[2021]]-1,"NA")</f>
        <v>NA</v>
      </c>
      <c r="G60" s="101" t="s">
        <v>257</v>
      </c>
      <c r="H60" s="99" t="str">
        <f>IFERROR((SUMIFS(ACOAETME2021[[#All],[Claims: Pharmacy]],ACOAETME2021[[#All],[Insurance Category Code]],3, ACOAETME2021[[#All],[ACO/AE or Insurer Overall Organization ID]],100)-ABS(SUMIF(RxRebates21[[#All],[Insurance Category Code]],3,RxRebates21[[#All],[Retail Pharmacy Rebates]])))/H53, "NA")</f>
        <v>NA</v>
      </c>
      <c r="I60" s="99" t="str">
        <f>IFERROR((SUMIFS(ACOAETME2022[[#All],[Claims: Pharmacy]],ACOAETME2022[[#All],[Insurance Category Code]],3, ACOAETME2022[[#All],[ACO/AE or Insurer Overall Organization ID]],100)-ABS(SUMIF(RxRebates22[[#All],[Insurance Category Code]],3,RxRebates22[[#All],[Retail Pharmacy Rebates]])))/I53, "NA")</f>
        <v>NA</v>
      </c>
      <c r="J60" s="90" t="str">
        <f>IFERROR(ICC3TME[[#This Row],[2022]]/ICC3TME[[#This Row],[2021]]-1,"NA")</f>
        <v>NA</v>
      </c>
      <c r="L60" s="101" t="s">
        <v>257</v>
      </c>
      <c r="M60" s="99" t="str">
        <f>IFERROR((SUMIFS(ACOAETME2021[[#All],[Claims: Pharmacy]],ACOAETME2021[[#All],[Insurance Category Code]],4, ACOAETME2021[[#All],[ACO/AE or Insurer Overall Organization ID]],100)-ABS(SUMIF(RxRebates21[[#All],[Insurance Category Code]],4,RxRebates21[[#All],[Retail Pharmacy Rebates]])))/M53, "NA")</f>
        <v>NA</v>
      </c>
      <c r="N60" s="99" t="str">
        <f>IFERROR((SUMIFS(ACOAETME2022[[#All],[Claims: Pharmacy]],ACOAETME2022[[#All],[Insurance Category Code]],4, ACOAETME2022[[#All],[ACO/AE or Insurer Overall Organization ID]],100)-ABS(SUMIF(RxRebates22[[#All],[Insurance Category Code]],4,RxRebates22[[#All],[Retail Pharmacy Rebates]])))/N53, "NA")</f>
        <v>NA</v>
      </c>
      <c r="O60" s="100" t="str">
        <f>IFERROR(ICC4TME[[#This Row],[2022]]/ICC4TME[[#This Row],[2021]]-1,"NA")</f>
        <v>NA</v>
      </c>
    </row>
    <row r="61" spans="2:15" x14ac:dyDescent="0.35">
      <c r="B61" s="101" t="s">
        <v>187</v>
      </c>
      <c r="C61" s="99" t="str">
        <f t="shared" si="0"/>
        <v>NA</v>
      </c>
      <c r="D61" s="99" t="str">
        <f t="shared" si="1"/>
        <v>NA</v>
      </c>
      <c r="E61" s="100" t="str">
        <f>IFERROR(ComTotTME[[#This Row],[2022]]/ComTotTME[[#This Row],[2021]]-1,"NA")</f>
        <v>NA</v>
      </c>
      <c r="G61" s="101" t="s">
        <v>187</v>
      </c>
      <c r="H61" s="99" t="str">
        <f>IFERROR((-ABS(SUMIF(RxRebates21[[#All],[Insurance Category Code]],3,RxRebates21[[#All],[Retail Pharmacy Rebates]])))/H53,"NA")</f>
        <v>NA</v>
      </c>
      <c r="I61" s="99" t="str">
        <f>IFERROR((-ABS(SUMIF(RxRebates22[[#All],[Insurance Category Code]],3,RxRebates22[[#All],[Retail Pharmacy Rebates]])))/I53,"NA")</f>
        <v>NA</v>
      </c>
      <c r="J61" s="90" t="str">
        <f>IFERROR(ICC3TME[[#This Row],[2022]]/ICC3TME[[#This Row],[2021]]-1,"NA")</f>
        <v>NA</v>
      </c>
      <c r="L61" s="101" t="s">
        <v>187</v>
      </c>
      <c r="M61" s="99" t="str">
        <f>IFERROR((-ABS(SUMIF(RxRebates21[[#All],[Insurance Category Code]],4,RxRebates21[[#All],[Retail Pharmacy Rebates]])))/M53,"NA")</f>
        <v>NA</v>
      </c>
      <c r="N61" s="99" t="str">
        <f>IFERROR((-ABS(SUMIF(RxRebates22[[#All],[Insurance Category Code]],4,RxRebates22[[#All],[Retail Pharmacy Rebates]])))/N53,"NA")</f>
        <v>NA</v>
      </c>
      <c r="O61" s="100" t="str">
        <f>IFERROR(ICC4TME[[#This Row],[2022]]/ICC4TME[[#This Row],[2021]]-1,"NA")</f>
        <v>NA</v>
      </c>
    </row>
    <row r="62" spans="2:15" x14ac:dyDescent="0.35">
      <c r="B62" s="53" t="s">
        <v>18</v>
      </c>
      <c r="C62" s="99" t="str">
        <f t="shared" si="0"/>
        <v>NA</v>
      </c>
      <c r="D62" s="99" t="str">
        <f t="shared" si="1"/>
        <v>NA</v>
      </c>
      <c r="E62" s="100" t="str">
        <f>IFERROR(ComTotTME[[#This Row],[2022]]/ComTotTME[[#This Row],[2021]]-1,"NA")</f>
        <v>NA</v>
      </c>
      <c r="G62" s="53" t="s">
        <v>18</v>
      </c>
      <c r="H62" s="99" t="str">
        <f>IFERROR((SUMIFS(ACOAETME2021[[#All],[Claims: Long-Term Care]], ACOAETME2021[[#All],[Insurance Category Code]],3,ACOAETME2021[[#All],[ACO/AE or Insurer Overall Organization ID]], 100))/H53,"NA")</f>
        <v>NA</v>
      </c>
      <c r="I62" s="99" t="str">
        <f>IFERROR((SUMIFS(ACOAETME2022[[#All],[Claims: Long-Term Care]], ACOAETME2022[[#All],[Insurance Category Code]],3,ACOAETME2022[[#All],[ACO/AE or Insurer Overall Organization ID]], 100))/I53,"NA")</f>
        <v>NA</v>
      </c>
      <c r="J62" s="90" t="str">
        <f>IFERROR(ICC3TME[[#This Row],[2022]]/ICC3TME[[#This Row],[2021]]-1,"NA")</f>
        <v>NA</v>
      </c>
      <c r="L62" s="53" t="s">
        <v>18</v>
      </c>
      <c r="M62" s="99" t="str">
        <f>IFERROR((SUMIFS(ACOAETME2021[[#All],[Claims: Long-Term Care]], ACOAETME2021[[#All],[Insurance Category Code]],4,ACOAETME2021[[#All],[ACO/AE or Insurer Overall Organization ID]], 100))/M53,"NA")</f>
        <v>NA</v>
      </c>
      <c r="N62" s="99" t="str">
        <f>IFERROR((SUMIFS(ACOAETME2022[[#All],[Claims: Long-Term Care]], ACOAETME2022[[#All],[Insurance Category Code]],4,ACOAETME2022[[#All],[ACO/AE or Insurer Overall Organization ID]], 100))/N53,"NA")</f>
        <v>NA</v>
      </c>
      <c r="O62" s="100" t="str">
        <f>IFERROR(ICC4TME[[#This Row],[2022]]/ICC4TME[[#This Row],[2021]]-1,"NA")</f>
        <v>NA</v>
      </c>
    </row>
    <row r="63" spans="2:15" x14ac:dyDescent="0.35">
      <c r="B63" s="53" t="s">
        <v>19</v>
      </c>
      <c r="C63" s="99" t="str">
        <f t="shared" si="0"/>
        <v>NA</v>
      </c>
      <c r="D63" s="99" t="str">
        <f t="shared" ref="D63:D76" si="2">IFERROR((SUMPRODUCT(I63,$I$53)+SUMPRODUCT(N63,$N$53))/$D$53,"NA")</f>
        <v>NA</v>
      </c>
      <c r="E63" s="100" t="str">
        <f>IFERROR(ComTotTME[[#This Row],[2022]]/ComTotTME[[#This Row],[2021]]-1,"NA")</f>
        <v>NA</v>
      </c>
      <c r="G63" s="53" t="s">
        <v>19</v>
      </c>
      <c r="H63" s="99" t="str">
        <f>IFERROR((SUMIFS(ACOAETME2021[[#All],[Claims: Other]], ACOAETME2021[[#All],[Insurance Category Code]],3,ACOAETME2021[[#All],[ACO/AE or Insurer Overall Organization ID]], 100))/H53,"NA")</f>
        <v>NA</v>
      </c>
      <c r="I63" s="99" t="str">
        <f>IFERROR((SUMIFS(ACOAETME2022[[#All],[Claims: Other]], ACOAETME2022[[#All],[Insurance Category Code]],3,ACOAETME2022[[#All],[ACO/AE or Insurer Overall Organization ID]], 100))/I53,"NA")</f>
        <v>NA</v>
      </c>
      <c r="J63" s="90" t="str">
        <f>IFERROR(ICC3TME[[#This Row],[2022]]/ICC3TME[[#This Row],[2021]]-1,"NA")</f>
        <v>NA</v>
      </c>
      <c r="L63" s="53" t="s">
        <v>19</v>
      </c>
      <c r="M63" s="99" t="str">
        <f>IFERROR((SUMIFS(ACOAETME2021[[#All],[Claims: Other]], ACOAETME2021[[#All],[Insurance Category Code]],4,ACOAETME2021[[#All],[ACO/AE or Insurer Overall Organization ID]], 100))/M53,"NA")</f>
        <v>NA</v>
      </c>
      <c r="N63" s="99" t="str">
        <f>IFERROR((SUMIFS(ACOAETME2022[[#All],[Claims: Other]], ACOAETME2022[[#All],[Insurance Category Code]],4,ACOAETME2022[[#All],[ACO/AE or Insurer Overall Organization ID]], 100))/N53,"NA")</f>
        <v>NA</v>
      </c>
      <c r="O63" s="100" t="str">
        <f>IFERROR(ICC4TME[[#This Row],[2022]]/ICC4TME[[#This Row],[2021]]-1,"NA")</f>
        <v>NA</v>
      </c>
    </row>
    <row r="64" spans="2:15" x14ac:dyDescent="0.35">
      <c r="B64" s="102" t="s">
        <v>576</v>
      </c>
      <c r="C64" s="103" t="str">
        <f t="shared" si="0"/>
        <v>NA</v>
      </c>
      <c r="D64" s="103" t="str">
        <f t="shared" si="2"/>
        <v>NA</v>
      </c>
      <c r="E64" s="104" t="str">
        <f>IFERROR(ComTotTME[[#This Row],[2022]]/ComTotTME[[#This Row],[2021]]-1,"NA")</f>
        <v>NA</v>
      </c>
      <c r="G64" s="102" t="s">
        <v>576</v>
      </c>
      <c r="H64" s="351" t="str">
        <f>IFERROR((SUMIFS(ACOAETME2021[[#All],[TOTAL Non-Truncated Unadjusted Claims Expenses]], ACOAETME2021[[#All],[Insurance Category Code]],3,ACOAETME2021[[#All],[ACO/AE or Insurer Overall Organization ID]], 100))/H53,"NA")</f>
        <v>NA</v>
      </c>
      <c r="I64" s="351" t="str">
        <f>IFERROR((SUMIFS(ACOAETME2022[[#All],[TOTAL Non-Truncated Unadjusted Claims Expenses]], ACOAETME2022[[#All],[Insurance Category Code]],3,ACOAETME2022[[#All],[ACO/AE or Insurer Overall Organization ID]], 100))/I53,"NA")</f>
        <v>NA</v>
      </c>
      <c r="J64" s="352" t="str">
        <f>IFERROR(ICC3TME[[#This Row],[2022]]/ICC3TME[[#This Row],[2021]]-1,"NA")</f>
        <v>NA</v>
      </c>
      <c r="L64" s="102" t="s">
        <v>576</v>
      </c>
      <c r="M64" s="103" t="str">
        <f>IFERROR((SUMIFS(ACOAETME2021[[#All],[TOTAL Non-Truncated Unadjusted Claims Expenses]], ACOAETME2021[[#All],[Insurance Category Code]],4,ACOAETME2021[[#All],[ACO/AE or Insurer Overall Organization ID]], 100))/M53,"NA")</f>
        <v>NA</v>
      </c>
      <c r="N64" s="103" t="str">
        <f>IFERROR((SUMIFS(ACOAETME2022[[#All],[TOTAL Non-Truncated Unadjusted Claims Expenses]], ACOAETME2022[[#All],[Insurance Category Code]],4,ACOAETME2022[[#All],[ACO/AE or Insurer Overall Organization ID]], 100))/N53,"NA")</f>
        <v>NA</v>
      </c>
      <c r="O64" s="104" t="str">
        <f>IFERROR(ICC4TME[[#This Row],[2022]]/ICC4TME[[#This Row],[2021]]-1,"NA")</f>
        <v>NA</v>
      </c>
    </row>
    <row r="65" spans="2:15" x14ac:dyDescent="0.35">
      <c r="B65" s="102" t="s">
        <v>577</v>
      </c>
      <c r="C65" s="103" t="str">
        <f t="shared" si="0"/>
        <v>NA</v>
      </c>
      <c r="D65" s="103" t="str">
        <f t="shared" si="2"/>
        <v>NA</v>
      </c>
      <c r="E65" s="104" t="str">
        <f>IFERROR(ComTotTME[[#This Row],[2022]]/ComTotTME[[#This Row],[2021]]-1,"NA")</f>
        <v>NA</v>
      </c>
      <c r="G65" s="102" t="s">
        <v>577</v>
      </c>
      <c r="H65" s="351" t="str">
        <f>IFERROR(SUMIFS(ACOAETME2021[[#All],[TOTAL Truncated Unadjusted Claims Expenses (A19 - A17)]], ACOAETME2021[[#All],[Insurance Category Code]],3,ACOAETME2021[[#All],[ACO/AE or Insurer Overall Organization ID]],100)/H53, "NA")</f>
        <v>NA</v>
      </c>
      <c r="I65" s="351" t="str">
        <f>IFERROR(SUMIFS(ACOAETME2022[[#All],[TOTAL Truncated Unadjusted Claims Expenses (A19 - A17)]], ACOAETME2022[[#All],[Insurance Category Code]],3,ACOAETME2022[[#All],[ACO/AE or Insurer Overall Organization ID]],100)/I53, "NA")</f>
        <v>NA</v>
      </c>
      <c r="J65" s="352" t="str">
        <f>IFERROR(ICC3TME[[#This Row],[2022]]/ICC3TME[[#This Row],[2021]]-1,"NA")</f>
        <v>NA</v>
      </c>
      <c r="L65" s="102" t="s">
        <v>577</v>
      </c>
      <c r="M65" s="103" t="str">
        <f>IFERROR(SUMIFS(ACOAETME2021[[#All],[TOTAL Truncated Unadjusted Claims Expenses (A19 - A17)]], ACOAETME2021[[#All],[Insurance Category Code]],4,ACOAETME2021[[#All],[ACO/AE or Insurer Overall Organization ID]],100)/M53, "NA")</f>
        <v>NA</v>
      </c>
      <c r="N65" s="103" t="str">
        <f>IFERROR(SUMIFS(ACOAETME2022[[#All],[TOTAL Truncated Unadjusted Claims Expenses (A19 - A17)]], ACOAETME2022[[#All],[Insurance Category Code]],4,ACOAETME2022[[#All],[ACO/AE or Insurer Overall Organization ID]],100)/N53, "NA")</f>
        <v>NA</v>
      </c>
      <c r="O65" s="104" t="str">
        <f>IFERROR(ICC4TME[[#This Row],[2022]]/ICC4TME[[#This Row],[2021]]-1,"NA")</f>
        <v>NA</v>
      </c>
    </row>
    <row r="66" spans="2:15" ht="29" x14ac:dyDescent="0.35">
      <c r="B66" s="53" t="s">
        <v>109</v>
      </c>
      <c r="C66" s="99" t="str">
        <f t="shared" si="0"/>
        <v>NA</v>
      </c>
      <c r="D66" s="99" t="str">
        <f t="shared" si="2"/>
        <v>NA</v>
      </c>
      <c r="E66" s="100" t="str">
        <f>IFERROR(ComTotTME[[#This Row],[2022]]/ComTotTME[[#This Row],[2021]]-1,"NA")</f>
        <v>NA</v>
      </c>
      <c r="F66" s="96"/>
      <c r="G66" s="53" t="s">
        <v>109</v>
      </c>
      <c r="H66" s="99" t="str">
        <f>IFERROR((SUMIFS(ACOAETME2021[[#All],[Non-Claims: Prospective Capitated, Prospective Global Budget, Prospective Case Rate, or Prospective Episode-Based Payments]], ACOAETME2021[[#All],[Insurance Category Code]],3,ACOAETME2021[[#All],[ACO/AE or Insurer Overall Organization ID]], 100))/H53,"NA")</f>
        <v>NA</v>
      </c>
      <c r="I66" s="99" t="str">
        <f>IFERROR((SUMIFS(ACOAETME2022[[#All],[Non-Claims: Prospective Capitated, Prospective Global Budget, Prospective Case Rate, or Prospective Episode-Based Payments]], ACOAETME2022[[#All],[Insurance Category Code]],3,ACOAETME2022[[#All],[ACO/AE or Insurer Overall Organization ID]], 100))/I53,"NA")</f>
        <v>NA</v>
      </c>
      <c r="J66" s="90" t="str">
        <f>IFERROR(ICC3TME[[#This Row],[2022]]/ICC3TME[[#This Row],[2021]]-1,"NA")</f>
        <v>NA</v>
      </c>
      <c r="L66" s="53" t="s">
        <v>109</v>
      </c>
      <c r="M66" s="99" t="str">
        <f>IFERROR((SUMIFS(ACOAETME2021[[#All],[Non-Claims: Prospective Capitated, Prospective Global Budget, Prospective Case Rate, or Prospective Episode-Based Payments]], ACOAETME2021[[#All],[Insurance Category Code]],4,ACOAETME2021[[#All],[ACO/AE or Insurer Overall Organization ID]], 100))/M53,"NA")</f>
        <v>NA</v>
      </c>
      <c r="N66" s="99" t="str">
        <f>IFERROR((SUMIFS(ACOAETME2022[[#All],[Non-Claims: Prospective Capitated, Prospective Global Budget, Prospective Case Rate, or Prospective Episode-Based Payments]], ACOAETME2022[[#All],[Insurance Category Code]],4,ACOAETME2022[[#All],[ACO/AE or Insurer Overall Organization ID]], 100))/N53,"NA")</f>
        <v>NA</v>
      </c>
      <c r="O66" s="100" t="str">
        <f>IFERROR(ICC4TME[[#This Row],[2022]]/ICC4TME[[#This Row],[2021]]-1,"NA")</f>
        <v>NA</v>
      </c>
    </row>
    <row r="67" spans="2:15" x14ac:dyDescent="0.35">
      <c r="B67" s="53" t="s">
        <v>110</v>
      </c>
      <c r="C67" s="99" t="str">
        <f t="shared" si="0"/>
        <v>NA</v>
      </c>
      <c r="D67" s="99" t="str">
        <f t="shared" si="2"/>
        <v>NA</v>
      </c>
      <c r="E67" s="100" t="str">
        <f>IFERROR(ComTotTME[[#This Row],[2022]]/ComTotTME[[#This Row],[2021]]-1,"NA")</f>
        <v>NA</v>
      </c>
      <c r="G67" s="53" t="s">
        <v>110</v>
      </c>
      <c r="H67" s="99" t="str">
        <f>IFERROR((SUMIFS(ACOAETME2021[[#All],[Non-Claims: Performance Incentive Payments]], ACOAETME2021[[#All],[Insurance Category Code]],3,ACOAETME2021[[#All],[ACO/AE or Insurer Overall Organization ID]], 100))/H53,"NA")</f>
        <v>NA</v>
      </c>
      <c r="I67" s="99" t="str">
        <f>IFERROR((SUMIFS(ACOAETME2022[[#All],[Non-Claims: Performance Incentive Payments]], ACOAETME2022[[#All],[Insurance Category Code]],3,ACOAETME2022[[#All],[ACO/AE or Insurer Overall Organization ID]], 100))/I53,"NA")</f>
        <v>NA</v>
      </c>
      <c r="J67" s="90" t="str">
        <f>IFERROR(ICC3TME[[#This Row],[2022]]/ICC3TME[[#This Row],[2021]]-1,"NA")</f>
        <v>NA</v>
      </c>
      <c r="L67" s="53" t="s">
        <v>110</v>
      </c>
      <c r="M67" s="99" t="str">
        <f>IFERROR((SUMIFS(ACOAETME2021[[#All],[Non-Claims: Performance Incentive Payments]], ACOAETME2021[[#All],[Insurance Category Code]],4,ACOAETME2021[[#All],[ACO/AE or Insurer Overall Organization ID]], 100))/M53,"NA")</f>
        <v>NA</v>
      </c>
      <c r="N67" s="99" t="str">
        <f>IFERROR((SUMIFS(ACOAETME2022[[#All],[Non-Claims: Performance Incentive Payments]], ACOAETME2022[[#All],[Insurance Category Code]],4,ACOAETME2022[[#All],[ACO/AE or Insurer Overall Organization ID]], 100))/N53,"NA")</f>
        <v>NA</v>
      </c>
      <c r="O67" s="100" t="str">
        <f>IFERROR(ICC4TME[[#This Row],[2022]]/ICC4TME[[#This Row],[2021]]-1,"NA")</f>
        <v>NA</v>
      </c>
    </row>
    <row r="68" spans="2:15" ht="29" x14ac:dyDescent="0.35">
      <c r="B68" s="53" t="s">
        <v>111</v>
      </c>
      <c r="C68" s="99" t="str">
        <f t="shared" si="0"/>
        <v>NA</v>
      </c>
      <c r="D68" s="99" t="str">
        <f t="shared" si="2"/>
        <v>NA</v>
      </c>
      <c r="E68" s="100" t="str">
        <f>IFERROR(ComTotTME[[#This Row],[2022]]/ComTotTME[[#This Row],[2021]]-1,"NA")</f>
        <v>NA</v>
      </c>
      <c r="G68" s="53" t="s">
        <v>111</v>
      </c>
      <c r="H68" s="99" t="str">
        <f>IFERROR((SUMIFS(ACOAETME2021[[#All],[Non-Claims: Payments to Support Population Health and Practice Infrastructure]], ACOAETME2021[[#All],[Insurance Category Code]],3,ACOAETME2021[[#All],[ACO/AE or Insurer Overall Organization ID]], 100))/H53,"NA")</f>
        <v>NA</v>
      </c>
      <c r="I68" s="99" t="str">
        <f>IFERROR((SUMIFS(ACOAETME2022[[#All],[Non-Claims: Payments to Support Population Health and Practice Infrastructure]], ACOAETME2022[[#All],[Insurance Category Code]],3,ACOAETME2022[[#All],[ACO/AE or Insurer Overall Organization ID]], 100))/I53,"NA")</f>
        <v>NA</v>
      </c>
      <c r="J68" s="90" t="str">
        <f>IFERROR(ICC3TME[[#This Row],[2022]]/ICC3TME[[#This Row],[2021]]-1,"NA")</f>
        <v>NA</v>
      </c>
      <c r="L68" s="53" t="s">
        <v>111</v>
      </c>
      <c r="M68" s="99" t="str">
        <f>IFERROR((SUMIFS(ACOAETME2021[[#All],[Non-Claims: Payments to Support Population Health and Practice Infrastructure]], ACOAETME2021[[#All],[Insurance Category Code]],4,ACOAETME2021[[#All],[ACO/AE or Insurer Overall Organization ID]], 100))/M53,"NA")</f>
        <v>NA</v>
      </c>
      <c r="N68" s="99" t="str">
        <f>IFERROR((SUMIFS(ACOAETME2022[[#All],[Non-Claims: Payments to Support Population Health and Practice Infrastructure]], ACOAETME2022[[#All],[Insurance Category Code]],4,ACOAETME2022[[#All],[ACO/AE or Insurer Overall Organization ID]], 100))/N53,"NA")</f>
        <v>NA</v>
      </c>
      <c r="O68" s="100" t="str">
        <f>IFERROR(ICC4TME[[#This Row],[2022]]/ICC4TME[[#This Row],[2021]]-1,"NA")</f>
        <v>NA</v>
      </c>
    </row>
    <row r="69" spans="2:15" x14ac:dyDescent="0.35">
      <c r="B69" s="53" t="s">
        <v>112</v>
      </c>
      <c r="C69" s="99" t="str">
        <f t="shared" si="0"/>
        <v>NA</v>
      </c>
      <c r="D69" s="99" t="str">
        <f t="shared" si="2"/>
        <v>NA</v>
      </c>
      <c r="E69" s="100" t="str">
        <f>IFERROR(ComTotTME[[#This Row],[2022]]/ComTotTME[[#This Row],[2021]]-1,"NA")</f>
        <v>NA</v>
      </c>
      <c r="G69" s="53" t="s">
        <v>112</v>
      </c>
      <c r="H69" s="99" t="str">
        <f>IFERROR((SUMIFS(ACOAETME2021[[#All],[Non-Claims: Provider Salaries]], ACOAETME2021[[#All],[Insurance Category Code]],3,ACOAETME2021[[#All],[ACO/AE or Insurer Overall Organization ID]], 100))/H53,"NA")</f>
        <v>NA</v>
      </c>
      <c r="I69" s="99" t="str">
        <f>IFERROR((SUMIFS(ACOAETME2022[[#All],[Non-Claims: Provider Salaries]], ACOAETME2022[[#All],[Insurance Category Code]],3,ACOAETME2022[[#All],[ACO/AE or Insurer Overall Organization ID]], 100))/I53,"NA")</f>
        <v>NA</v>
      </c>
      <c r="J69" s="90" t="str">
        <f>IFERROR(ICC3TME[[#This Row],[2022]]/ICC3TME[[#This Row],[2021]]-1,"NA")</f>
        <v>NA</v>
      </c>
      <c r="L69" s="53" t="s">
        <v>112</v>
      </c>
      <c r="M69" s="99" t="str">
        <f>IFERROR((SUMIFS(ACOAETME2021[[#All],[Non-Claims: Provider Salaries]], ACOAETME2021[[#All],[Insurance Category Code]],4,ACOAETME2021[[#All],[ACO/AE or Insurer Overall Organization ID]], 100))/M53,"NA")</f>
        <v>NA</v>
      </c>
      <c r="N69" s="99" t="str">
        <f>IFERROR((SUMIFS(ACOAETME2022[[#All],[Non-Claims: Provider Salaries]], ACOAETME2022[[#All],[Insurance Category Code]],4,ACOAETME2022[[#All],[ACO/AE or Insurer Overall Organization ID]], 100))/N53,"NA")</f>
        <v>NA</v>
      </c>
      <c r="O69" s="100" t="str">
        <f>IFERROR(ICC4TME[[#This Row],[2022]]/ICC4TME[[#This Row],[2021]]-1,"NA")</f>
        <v>NA</v>
      </c>
    </row>
    <row r="70" spans="2:15" x14ac:dyDescent="0.35">
      <c r="B70" s="53" t="s">
        <v>84</v>
      </c>
      <c r="C70" s="99" t="str">
        <f t="shared" si="0"/>
        <v>NA</v>
      </c>
      <c r="D70" s="99" t="str">
        <f t="shared" si="2"/>
        <v>NA</v>
      </c>
      <c r="E70" s="100" t="str">
        <f>IFERROR(ComTotTME[[#This Row],[2022]]/ComTotTME[[#This Row],[2021]]-1,"NA")</f>
        <v>NA</v>
      </c>
      <c r="G70" s="53" t="s">
        <v>84</v>
      </c>
      <c r="H70" s="99" t="str">
        <f>IFERROR((SUMIFS(ACOAETME2021[[#All],[Non-Claims: Recoveries]], ACOAETME2021[[#All],[Insurance Category Code]],3,ACOAETME2021[[#All],[ACO/AE or Insurer Overall Organization ID]], 100))/H53,"NA")</f>
        <v>NA</v>
      </c>
      <c r="I70" s="99" t="str">
        <f>IFERROR((SUMIFS(ACOAETME2022[[#All],[Non-Claims: Recoveries]], ACOAETME2022[[#All],[Insurance Category Code]],3,ACOAETME2022[[#All],[ACO/AE or Insurer Overall Organization ID]], 100))/I53,"NA")</f>
        <v>NA</v>
      </c>
      <c r="J70" s="90" t="str">
        <f>IFERROR(ICC3TME[[#This Row],[2022]]/ICC3TME[[#This Row],[2021]]-1,"NA")</f>
        <v>NA</v>
      </c>
      <c r="L70" s="53" t="s">
        <v>84</v>
      </c>
      <c r="M70" s="99" t="str">
        <f>IFERROR((SUMIFS(ACOAETME2021[[#All],[Non-Claims: Recoveries]], ACOAETME2021[[#All],[Insurance Category Code]],4,ACOAETME2021[[#All],[ACO/AE or Insurer Overall Organization ID]], 100))/M53,"NA")</f>
        <v>NA</v>
      </c>
      <c r="N70" s="99" t="str">
        <f>IFERROR((SUMIFS(ACOAETME2022[[#All],[Non-Claims: Recoveries]], ACOAETME2022[[#All],[Insurance Category Code]],4,ACOAETME2022[[#All],[ACO/AE or Insurer Overall Organization ID]], 100))/N53,"NA")</f>
        <v>NA</v>
      </c>
      <c r="O70" s="100" t="str">
        <f>IFERROR(ICC4TME[[#This Row],[2022]]/ICC4TME[[#This Row],[2021]]-1,"NA")</f>
        <v>NA</v>
      </c>
    </row>
    <row r="71" spans="2:15" x14ac:dyDescent="0.35">
      <c r="B71" s="53" t="s">
        <v>85</v>
      </c>
      <c r="C71" s="99" t="str">
        <f t="shared" si="0"/>
        <v>NA</v>
      </c>
      <c r="D71" s="105" t="str">
        <f t="shared" si="2"/>
        <v>NA</v>
      </c>
      <c r="E71" s="100" t="str">
        <f>IFERROR(ComTotTME[[#This Row],[2022]]/ComTotTME[[#This Row],[2021]]-1,"NA")</f>
        <v>NA</v>
      </c>
      <c r="G71" s="53" t="s">
        <v>85</v>
      </c>
      <c r="H71" s="99" t="str">
        <f>IFERROR((SUMIFS(ACOAETME2021[[#All],[Non-Claims: Other]], ACOAETME2021[[#All],[Insurance Category Code]],3,ACOAETME2021[[#All],[ACO/AE or Insurer Overall Organization ID]], 100))/H53,"NA")</f>
        <v>NA</v>
      </c>
      <c r="I71" s="99" t="str">
        <f>IFERROR((SUMIFS(ACOAETME2022[[#All],[Non-Claims: Other]], ACOAETME2022[[#All],[Insurance Category Code]],3,ACOAETME2022[[#All],[ACO/AE or Insurer Overall Organization ID]], 100))/I53,"NA")</f>
        <v>NA</v>
      </c>
      <c r="J71" s="100" t="str">
        <f>IFERROR(ICC3TME[[#This Row],[2022]]/ICC3TME[[#This Row],[2021]]-1,"NA")</f>
        <v>NA</v>
      </c>
      <c r="L71" s="53" t="s">
        <v>85</v>
      </c>
      <c r="M71" s="99" t="str">
        <f>IFERROR((SUMIFS(ACOAETME2021[[#All],[Non-Claims: Other]], ACOAETME2021[[#All],[Insurance Category Code]],4,ACOAETME2021[[#All],[ACO/AE or Insurer Overall Organization ID]], 100))/M53,"NA")</f>
        <v>NA</v>
      </c>
      <c r="N71" s="99" t="str">
        <f>IFERROR((SUMIFS(ACOAETME2022[[#All],[Non-Claims: Other]], ACOAETME2022[[#All],[Insurance Category Code]],4,ACOAETME2022[[#All],[ACO/AE or Insurer Overall Organization ID]], 100))/N53,"NA")</f>
        <v>NA</v>
      </c>
      <c r="O71" s="100" t="str">
        <f>IFERROR(ICC4TME[[#This Row],[2022]]/ICC4TME[[#This Row],[2021]]-1,"NA")</f>
        <v>NA</v>
      </c>
    </row>
    <row r="72" spans="2:15" x14ac:dyDescent="0.35">
      <c r="B72" s="102" t="s">
        <v>129</v>
      </c>
      <c r="C72" s="99" t="str">
        <f t="shared" si="0"/>
        <v>NA</v>
      </c>
      <c r="D72" s="103" t="str">
        <f t="shared" si="2"/>
        <v>NA</v>
      </c>
      <c r="E72" s="104" t="str">
        <f>IFERROR(ComTotTME[[#This Row],[2022]]/ComTotTME[[#This Row],[2021]]-1,"NA")</f>
        <v>NA</v>
      </c>
      <c r="G72" s="102" t="s">
        <v>129</v>
      </c>
      <c r="H72" s="103" t="str">
        <f>IFERROR((SUMIFS(ACOAETME2021[[#All],[TOTAL Non-Claims Expenses]], ACOAETME2021[[#All],[Insurance Category Code]],3,ACOAETME2021[[#All],[ACO/AE or Insurer Overall Organization ID]], 100))/H53,"NA")</f>
        <v>NA</v>
      </c>
      <c r="I72" s="103" t="str">
        <f>IFERROR((SUMIFS(ACOAETME2022[[#All],[TOTAL Non-Claims Expenses]], ACOAETME2022[[#All],[Insurance Category Code]],3,ACOAETME2022[[#All],[ACO/AE or Insurer Overall Organization ID]], 100))/I53,"NA")</f>
        <v>NA</v>
      </c>
      <c r="J72" s="91" t="str">
        <f>IFERROR(ICC3TME[[#This Row],[2022]]/ICC3TME[[#This Row],[2021]]-1,"NA")</f>
        <v>NA</v>
      </c>
      <c r="L72" s="102" t="s">
        <v>129</v>
      </c>
      <c r="M72" s="103" t="str">
        <f>IFERROR((SUMIFS(ACOAETME2021[[#All],[TOTAL Non-Claims Expenses]], ACOAETME2021[[#All],[Insurance Category Code]],4,ACOAETME2021[[#All],[ACO/AE or Insurer Overall Organization ID]], 100))/M53,"NA")</f>
        <v>NA</v>
      </c>
      <c r="N72" s="103" t="str">
        <f>IFERROR((SUMIFS(ACOAETME2022[[#All],[TOTAL Non-Claims Expenses]], ACOAETME2022[[#All],[Insurance Category Code]],4,ACOAETME2022[[#All],[ACO/AE or Insurer Overall Organization ID]], 100))/N53,"NA")</f>
        <v>NA</v>
      </c>
      <c r="O72" s="104" t="str">
        <f>IFERROR(ICC4TME[[#This Row],[2022]]/ICC4TME[[#This Row],[2021]]-1,"NA")</f>
        <v>NA</v>
      </c>
    </row>
    <row r="73" spans="2:15" x14ac:dyDescent="0.35">
      <c r="B73" s="106" t="s">
        <v>579</v>
      </c>
      <c r="C73" s="111" t="str">
        <f>IFERROR((SUMPRODUCT(H73,$H$53)+SUMPRODUCT(M73,$M$53))/$C$53,"NA")</f>
        <v>NA</v>
      </c>
      <c r="D73" s="111" t="str">
        <f t="shared" si="2"/>
        <v>NA</v>
      </c>
      <c r="E73" s="112" t="str">
        <f>IFERROR(ComTotTME[[#This Row],[2022]]/ComTotTME[[#This Row],[2021]]-1,"NA")</f>
        <v>NA</v>
      </c>
      <c r="G73" s="106" t="s">
        <v>579</v>
      </c>
      <c r="H73" s="107" t="str">
        <f>IFERROR((SUMIFS(ACOAETME2021[[#All],[TOTAL Non-Truncated Unadjusted Expenses 
(A19+A21)]], ACOAETME2021[[#All],[Insurance Category Code]],3, ACOAETME2021[[#All],[ACO/AE or Insurer Overall Organization ID]], 100))/H53, "NA")</f>
        <v>NA</v>
      </c>
      <c r="I73" s="353" t="str">
        <f>IFERROR((SUMIFS(ACOAETME2022[[#All],[TOTAL Non-Truncated Unadjusted Expenses 
(A19+A21)]], ACOAETME2022[[#All],[Insurance Category Code]],3, ACOAETME2022[[#All],[ACO/AE or Insurer Overall Organization ID]], 100))/I53, "NA")</f>
        <v>NA</v>
      </c>
      <c r="J73" s="108" t="str">
        <f>IFERROR(ICC3TME[[#This Row],[2022]]/ICC3TME[[#This Row],[2021]]-1,"NA")</f>
        <v>NA</v>
      </c>
      <c r="L73" s="106" t="s">
        <v>579</v>
      </c>
      <c r="M73" s="353" t="str">
        <f>IFERROR((SUMIFS(ACOAETME2021[[#All],[TOTAL Non-Truncated Unadjusted Expenses 
(A19+A21)]], ACOAETME2021[[#All],[Insurance Category Code]],4, ACOAETME2021[[#All],[ACO/AE or Insurer Overall Organization ID]], 100))/M53, "NA")</f>
        <v>NA</v>
      </c>
      <c r="N73" s="353" t="str">
        <f>IFERROR((SUMIFS(ACOAETME2022[[#All],[TOTAL Non-Truncated Unadjusted Expenses 
(A19+A21)]], ACOAETME2022[[#All],[Insurance Category Code]],4, ACOAETME2022[[#All],[ACO/AE or Insurer Overall Organization ID]], 100))/N53, "NA")</f>
        <v>NA</v>
      </c>
      <c r="O73" s="112" t="str">
        <f>IFERROR(ICC4TME[[#This Row],[2022]]/ICC4TME[[#This Row],[2021]]-1,"NA")</f>
        <v>NA</v>
      </c>
    </row>
    <row r="74" spans="2:15" x14ac:dyDescent="0.35">
      <c r="B74" s="106" t="s">
        <v>580</v>
      </c>
      <c r="C74" s="111" t="str">
        <f t="shared" si="0"/>
        <v>NA</v>
      </c>
      <c r="D74" s="111" t="str">
        <f t="shared" si="2"/>
        <v>NA</v>
      </c>
      <c r="E74" s="112" t="str">
        <f>IFERROR(ComTotTME[[#This Row],[2022]]/ComTotTME[[#This Row],[2021]]-1,"NA")</f>
        <v>NA</v>
      </c>
      <c r="G74" s="106" t="s">
        <v>580</v>
      </c>
      <c r="H74" s="107" t="str">
        <f>IFERROR(((SUMIFS(ACOAETME2021[[#All],[TOTAL Non-Truncated Unadjusted Expenses 
(A19+A21)]], ACOAETME2021[[#All],[Insurance Category Code]],3, ACOAETME2021[[#All],[ACO/AE or Insurer Overall Organization ID]], 100))-ABS(SUMIF(RxRebates21[[#All],[Insurance Category Code]], 3, RxRebates21[[#All],[Total Pharmacy Rebates]])))/H53, "NA")</f>
        <v>NA</v>
      </c>
      <c r="I74" s="353" t="str">
        <f>IFERROR(((SUMIFS(ACOAETME2022[[#All],[TOTAL Non-Truncated Unadjusted Expenses 
(A19+A21)]], ACOAETME2022[[#All],[Insurance Category Code]],3, ACOAETME2022[[#All],[ACO/AE or Insurer Overall Organization ID]], 100))-ABS(SUMIF(RxRebates22[[#All],[Insurance Category Code]], 3, RxRebates22[[#All],[Total Pharmacy Rebates]])))/I53, "NA")</f>
        <v>NA</v>
      </c>
      <c r="J74" s="108" t="str">
        <f>IFERROR(ICC3TME[[#This Row],[2022]]/ICC3TME[[#This Row],[2021]]-1,"NA")</f>
        <v>NA</v>
      </c>
      <c r="L74" s="106" t="s">
        <v>580</v>
      </c>
      <c r="M74" s="353" t="str">
        <f>IFERROR(((SUMIFS(ACOAETME2021[[#All],[TOTAL Non-Truncated Unadjusted Expenses 
(A19+A21)]], ACOAETME2021[[#All],[Insurance Category Code]],4, ACOAETME2021[[#All],[ACO/AE or Insurer Overall Organization ID]], 100))-ABS(SUMIF(RxRebates21[[#All],[Insurance Category Code]], 4, RxRebates21[[#All],[Total Pharmacy Rebates]])))/M53, "NA")</f>
        <v>NA</v>
      </c>
      <c r="N74" s="353" t="str">
        <f>IFERROR(((SUMIFS(ACOAETME2022[[#All],[TOTAL Non-Truncated Unadjusted Expenses 
(A19+A21)]], ACOAETME2022[[#All],[Insurance Category Code]],4, ACOAETME2022[[#All],[ACO/AE or Insurer Overall Organization ID]], 100))-ABS(SUMIF(RxRebates22[[#All],[Insurance Category Code]], 4, RxRebates22[[#All],[Total Pharmacy Rebates]])))/N53, "NA")</f>
        <v>NA</v>
      </c>
      <c r="O74" s="112" t="str">
        <f>IFERROR(ICC4TME[[#This Row],[2022]]/ICC4TME[[#This Row],[2021]]-1,"NA")</f>
        <v>NA</v>
      </c>
    </row>
    <row r="75" spans="2:15" x14ac:dyDescent="0.35">
      <c r="B75" s="106" t="s">
        <v>581</v>
      </c>
      <c r="C75" s="111" t="str">
        <f t="shared" si="0"/>
        <v>NA</v>
      </c>
      <c r="D75" s="111" t="str">
        <f t="shared" si="2"/>
        <v>NA</v>
      </c>
      <c r="E75" s="112" t="str">
        <f>IFERROR(ComTotTME[[#This Row],[2022]]/ComTotTME[[#This Row],[2021]]-1,"NA")</f>
        <v>NA</v>
      </c>
      <c r="G75" s="106" t="s">
        <v>581</v>
      </c>
      <c r="H75" s="107" t="str">
        <f>IFERROR((SUMIFS(ACOAETME2021[[#All],[TOTAL Truncated Unadjusted Expenses (A20+A21)]], ACOAETME2021[[#All],[Insurance Category Code]],3, ACOAETME2021[[#All],[ACO/AE or Insurer Overall Organization ID]], 100))/H53, "NA")</f>
        <v>NA</v>
      </c>
      <c r="I75" s="107" t="str">
        <f>IFERROR((SUMIFS(ACOAETME2022[[#All],[TOTAL Truncated Unadjusted Expenses (A20+A21)]], ACOAETME2022[[#All],[Insurance Category Code]],3, ACOAETME2022[[#All],[ACO/AE or Insurer Overall Organization ID]], 100))/I53, "NA")</f>
        <v>NA</v>
      </c>
      <c r="J75" s="108" t="str">
        <f>IFERROR(ICC3TME[[#This Row],[2022]]/ICC3TME[[#This Row],[2021]]-1,"NA")</f>
        <v>NA</v>
      </c>
      <c r="L75" s="106" t="s">
        <v>581</v>
      </c>
      <c r="M75" s="107" t="str">
        <f>IFERROR((SUMIFS(ACOAETME2021[[#All],[TOTAL Truncated Unadjusted Expenses (A20+A21)]], ACOAETME2021[[#All],[Insurance Category Code]],4, ACOAETME2021[[#All],[ACO/AE or Insurer Overall Organization ID]], 100))/M53, "NA")</f>
        <v>NA</v>
      </c>
      <c r="N75" s="107" t="str">
        <f>IFERROR((SUMIFS(ACOAETME2022[[#All],[TOTAL Truncated Unadjusted Expenses (A20+A21)]], ACOAETME2022[[#All],[Insurance Category Code]],4, ACOAETME2022[[#All],[ACO/AE or Insurer Overall Organization ID]], 100))/N53, "NA")</f>
        <v>NA</v>
      </c>
      <c r="O75" s="112" t="str">
        <f>IFERROR(ICC4TME[[#This Row],[2022]]/ICC4TME[[#This Row],[2021]]-1,"NA")</f>
        <v>NA</v>
      </c>
    </row>
    <row r="76" spans="2:15" x14ac:dyDescent="0.35">
      <c r="B76" s="109" t="s">
        <v>582</v>
      </c>
      <c r="C76" s="113" t="str">
        <f t="shared" si="0"/>
        <v>NA</v>
      </c>
      <c r="D76" s="113" t="str">
        <f t="shared" si="2"/>
        <v>NA</v>
      </c>
      <c r="E76" s="114" t="str">
        <f>IFERROR(ComTotTME[[#This Row],[2022]]/ComTotTME[[#This Row],[2021]]-1,"NA")</f>
        <v>NA</v>
      </c>
      <c r="G76" s="109" t="s">
        <v>582</v>
      </c>
      <c r="H76" s="110" t="str">
        <f>IFERROR(((SUMIFS(ACOAETME2021[TOTAL Truncated Unadjusted Expenses (A20+A21)], ACOAETME2021[Insurance Category Code],3, ACOAETME2021[ACO/AE or Insurer Overall Organization ID], 100))-ABS(SUMIF(RxRebates21[Insurance Category Code], 3, RxRebates21[Total Pharmacy Rebates])))/H53, "NA")</f>
        <v>NA</v>
      </c>
      <c r="I76" s="110" t="str">
        <f>IFERROR(((SUMIFS(ACOAETME2022[TOTAL Truncated Unadjusted Expenses (A20+A21)], ACOAETME2022[Insurance Category Code],3, ACOAETME2022[ACO/AE or Insurer Overall Organization ID], 100))-ABS(SUMIF(RxRebates22[Insurance Category Code], 3, RxRebates22[Total Pharmacy Rebates])))/I53, "NA")</f>
        <v>NA</v>
      </c>
      <c r="J76" s="108" t="str">
        <f>IFERROR(ICC3TME[[#This Row],[2022]]/ICC3TME[[#This Row],[2021]]-1,"NA")</f>
        <v>NA</v>
      </c>
      <c r="L76" s="109" t="s">
        <v>582</v>
      </c>
      <c r="M76" s="110" t="str">
        <f>IFERROR(((SUMIFS(ACOAETME2021[[#All],[TOTAL Truncated Unadjusted Expenses (A20+A21)]], ACOAETME2021[[#All],[Insurance Category Code]],4, ACOAETME2021[[#All],[ACO/AE or Insurer Overall Organization ID]], 100))-ABS(SUMIF(RxRebates21[[#All],[Insurance Category Code]], 4, RxRebates21[[#All],[Total Pharmacy Rebates]])))/M53, "NA")</f>
        <v>NA</v>
      </c>
      <c r="N76" s="110" t="str">
        <f>IFERROR(((SUMIFS(ACOAETME2022[[#All],[TOTAL Truncated Unadjusted Expenses (A20+A21)]], ACOAETME2022[[#All],[Insurance Category Code]],4, ACOAETME2022[[#All],[ACO/AE or Insurer Overall Organization ID]], 100))-ABS(SUMIF(RxRebates22[[#All],[Insurance Category Code]], 4, RxRebates22[[#All],[Total Pharmacy Rebates]])))/N53, "NA")</f>
        <v>NA</v>
      </c>
      <c r="O76" s="114" t="str">
        <f>IFERROR(ICC4TME[[#This Row],[2022]]/ICC4TME[[#This Row],[2021]]-1,"NA")</f>
        <v>NA</v>
      </c>
    </row>
    <row r="78" spans="2:15" ht="15.5" x14ac:dyDescent="0.35">
      <c r="B78" s="42" t="s">
        <v>133</v>
      </c>
      <c r="G78" s="42" t="s">
        <v>200</v>
      </c>
      <c r="L78" s="42" t="s">
        <v>201</v>
      </c>
    </row>
    <row r="79" spans="2:15" x14ac:dyDescent="0.35">
      <c r="B79" s="46" t="s">
        <v>583</v>
      </c>
      <c r="G79" s="46" t="s">
        <v>583</v>
      </c>
      <c r="L79" s="46" t="s">
        <v>583</v>
      </c>
    </row>
    <row r="80" spans="2:15" x14ac:dyDescent="0.35">
      <c r="B80" s="70" t="s">
        <v>116</v>
      </c>
      <c r="C80" s="71" t="s">
        <v>525</v>
      </c>
      <c r="D80" s="71" t="s">
        <v>669</v>
      </c>
      <c r="E80" s="72" t="s">
        <v>115</v>
      </c>
      <c r="G80" s="73" t="s">
        <v>116</v>
      </c>
      <c r="H80" s="74" t="s">
        <v>525</v>
      </c>
      <c r="I80" s="74" t="s">
        <v>669</v>
      </c>
      <c r="J80" s="75" t="s">
        <v>115</v>
      </c>
      <c r="L80" s="76" t="s">
        <v>116</v>
      </c>
      <c r="M80" s="77" t="s">
        <v>525</v>
      </c>
      <c r="N80" s="77" t="s">
        <v>669</v>
      </c>
      <c r="O80" s="78" t="s">
        <v>115</v>
      </c>
    </row>
    <row r="81" spans="2:15" x14ac:dyDescent="0.35">
      <c r="B81" s="53" t="s">
        <v>87</v>
      </c>
      <c r="C81" s="195">
        <f>IFERROR(SUM(H81,M81),"NA")</f>
        <v>0</v>
      </c>
      <c r="D81" s="195">
        <f>IFERROR(SUM(I81,N81),"NA")</f>
        <v>0</v>
      </c>
      <c r="E81" s="100" t="str">
        <f>IFERROR(MAidTotTME[[#This Row],[2022]]/MAidTotTME[[#This Row],[2021]]-1,"NA")</f>
        <v>NA</v>
      </c>
      <c r="G81" s="53" t="s">
        <v>87</v>
      </c>
      <c r="H81" s="194">
        <f>SUMIFS(ACOAETME2021[[#All], [Member Months]], ACOAETME2021[[#All], [Insurance Category Code]],2, ACOAETME2021[[#All], [ACO/AE or Insurer Overall Organization ID]], 100)</f>
        <v>0</v>
      </c>
      <c r="I81" s="195">
        <f>SUMIFS(ACOAETME2022[[#All], [Member Months]], ACOAETME2022[[#All], [Insurance Category Code]],2, ACOAETME2022[[#All], [ACO/AE or Insurer Overall Organization ID]], 100)</f>
        <v>0</v>
      </c>
      <c r="J81" s="90" t="str">
        <f>IFERROR(ICC2TME[[#This Row],[2022]]/ICC2TME[[#This Row],[2021]]-1,"NA")</f>
        <v>NA</v>
      </c>
      <c r="L81" s="53" t="s">
        <v>87</v>
      </c>
      <c r="M81" s="194">
        <f>SUMIFS(ACOAETME2021[[#All],[Member Months]], ACOAETME2021[[#All],[Insurance Category Code]],6, ACOAETME2021[[#All],[ACO/AE or Insurer Overall Organization ID]], 100)</f>
        <v>0</v>
      </c>
      <c r="N81" s="194">
        <f>SUMIFS(ACOAETME2022[[#All],[Member Months]], ACOAETME2022[[#All],[Insurance Category Code]],6, ACOAETME2022[[#All],[ACO/AE or Insurer Overall Organization ID]], 100)</f>
        <v>0</v>
      </c>
      <c r="O81" s="100" t="str">
        <f>IFERROR(ICC6TME[[#This Row],[2022]]/ICC6TME[[#This Row],[2021]]-1,"NA")</f>
        <v>NA</v>
      </c>
    </row>
    <row r="82" spans="2:15" x14ac:dyDescent="0.35">
      <c r="B82" s="53" t="s">
        <v>12</v>
      </c>
      <c r="C82" s="99" t="str">
        <f>IFERROR((SUMPRODUCT(H82,$H$81)+SUMPRODUCT(M82,$M$81))/$C$81,"NA")</f>
        <v>NA</v>
      </c>
      <c r="D82" s="99" t="str">
        <f>IFERROR((SUMPRODUCT(I82,$I$81)+SUMPRODUCT(N82,$N$81))/$D$81,"NA")</f>
        <v>NA</v>
      </c>
      <c r="E82" s="100" t="str">
        <f>IFERROR(MAidTotTME[[#This Row],[2022]]/MAidTotTME[[#This Row],[2021]]-1,"NA")</f>
        <v>NA</v>
      </c>
      <c r="G82" s="53" t="s">
        <v>12</v>
      </c>
      <c r="H82" s="99" t="str">
        <f>IFERROR((SUMIFS(ACOAETME2021[[#All],[Claims: Hospital Inpatient]], ACOAETME2021[[#All],[Insurance Category Code]],2,ACOAETME2021[[#All],[ACO/AE or Insurer Overall Organization ID]], 100))/H81,"NA")</f>
        <v>NA</v>
      </c>
      <c r="I82" s="99" t="str">
        <f>IFERROR((SUMIFS(ACOAETME2022[[#All],[Claims: Hospital Inpatient]], ACOAETME2022[[#All],[Insurance Category Code]],2,ACOAETME2022[[#All],[ACO/AE or Insurer Overall Organization ID]], 100))/I81,"NA")</f>
        <v>NA</v>
      </c>
      <c r="J82" s="100" t="str">
        <f>IFERROR(ICC2TME[[#This Row],[2022]]/ICC2TME[[#This Row],[2021]]-1,"NA")</f>
        <v>NA</v>
      </c>
      <c r="L82" s="53" t="s">
        <v>12</v>
      </c>
      <c r="M82" s="99" t="str">
        <f>IFERROR((SUMIFS(ACOAETME2021[[#All],[Claims: Hospital Inpatient]], ACOAETME2021[[#All],[Insurance Category Code]],6,ACOAETME2021[[#All],[ACO/AE or Insurer Overall Organization ID]], 100))/M81,"NA")</f>
        <v>NA</v>
      </c>
      <c r="N82" s="99" t="str">
        <f>IFERROR((SUMIFS(ACOAETME2022[[#All],[Claims: Hospital Inpatient]], ACOAETME2022[[#All],[Insurance Category Code]],6,ACOAETME2022[[#All],[ACO/AE or Insurer Overall Organization ID]], 100))/N81,"NA")</f>
        <v>NA</v>
      </c>
      <c r="O82" s="100" t="str">
        <f>IFERROR(ICC6TME[[#This Row],[2022]]/ICC6TME[[#This Row],[2021]]-1,"NA")</f>
        <v>NA</v>
      </c>
    </row>
    <row r="83" spans="2:15" x14ac:dyDescent="0.35">
      <c r="B83" s="53" t="s">
        <v>13</v>
      </c>
      <c r="C83" s="99" t="str">
        <f t="shared" ref="C83:C104" si="3">IFERROR((SUMPRODUCT(H83,$H$81)+SUMPRODUCT(M83,$M$81))/$C$81,"NA")</f>
        <v>NA</v>
      </c>
      <c r="D83" s="99" t="str">
        <f t="shared" ref="D83:D104" si="4">IFERROR((SUMPRODUCT(I83,$I$81)+SUMPRODUCT(N83,$N$81))/$D$81,"NA")</f>
        <v>NA</v>
      </c>
      <c r="E83" s="100" t="str">
        <f>IFERROR(MAidTotTME[[#This Row],[2022]]/MAidTotTME[[#This Row],[2021]]-1,"NA")</f>
        <v>NA</v>
      </c>
      <c r="G83" s="53" t="s">
        <v>13</v>
      </c>
      <c r="H83" s="99" t="str">
        <f>IFERROR((SUMIFS(ACOAETME2021[[#All],[Claims: Hospital Outpatient]], ACOAETME2021[[#All],[Insurance Category Code]],2,ACOAETME2021[[#All],[ACO/AE or Insurer Overall Organization ID]], 100))/H81,"NA")</f>
        <v>NA</v>
      </c>
      <c r="I83" s="99" t="str">
        <f>IFERROR((SUMIFS(ACOAETME2022[[#All],[Claims: Hospital Outpatient]], ACOAETME2022[[#All],[Insurance Category Code]],2,ACOAETME2022[[#All],[ACO/AE or Insurer Overall Organization ID]], 100))/I81,"NA")</f>
        <v>NA</v>
      </c>
      <c r="J83" s="100" t="str">
        <f>IFERROR(ICC2TME[[#This Row],[2022]]/ICC2TME[[#This Row],[2021]]-1,"NA")</f>
        <v>NA</v>
      </c>
      <c r="L83" s="53" t="s">
        <v>13</v>
      </c>
      <c r="M83" s="99" t="str">
        <f>IFERROR((SUMIFS(ACOAETME2021[[#All],[Claims: Hospital Outpatient]], ACOAETME2021[[#All],[Insurance Category Code]],6,ACOAETME2021[[#All],[ACO/AE or Insurer Overall Organization ID]], 100))/M81,"NA")</f>
        <v>NA</v>
      </c>
      <c r="N83" s="99" t="str">
        <f>IFERROR((SUMIFS(ACOAETME2022[[#All],[Claims: Hospital Outpatient]], ACOAETME2022[[#All],[Insurance Category Code]],6,ACOAETME2022[[#All],[ACO/AE or Insurer Overall Organization ID]], 100))/N81,"NA")</f>
        <v>NA</v>
      </c>
      <c r="O83" s="100" t="str">
        <f>IFERROR(ICC6TME[[#This Row],[2022]]/ICC6TME[[#This Row],[2021]]-1,"NA")</f>
        <v>NA</v>
      </c>
    </row>
    <row r="84" spans="2:15" x14ac:dyDescent="0.35">
      <c r="B84" s="53" t="s">
        <v>14</v>
      </c>
      <c r="C84" s="99" t="str">
        <f t="shared" si="3"/>
        <v>NA</v>
      </c>
      <c r="D84" s="99" t="str">
        <f t="shared" si="4"/>
        <v>NA</v>
      </c>
      <c r="E84" s="100" t="str">
        <f>IFERROR(MAidTotTME[[#This Row],[2022]]/MAidTotTME[[#This Row],[2021]]-1,"NA")</f>
        <v>NA</v>
      </c>
      <c r="G84" s="53" t="s">
        <v>14</v>
      </c>
      <c r="H84" s="99" t="str">
        <f>IFERROR((SUMIFS(ACOAETME2021[[#All],[Claims: Professional, Primary Care]], ACOAETME2021[[#All],[Insurance Category Code]],2,ACOAETME2021[[#All],[ACO/AE or Insurer Overall Organization ID]], 100))/H81,"NA")</f>
        <v>NA</v>
      </c>
      <c r="I84" s="99" t="str">
        <f>IFERROR((SUMIFS(ACOAETME2022[[#All],[Claims: Professional, Primary Care]], ACOAETME2022[[#All],[Insurance Category Code]],2,ACOAETME2022[[#All],[ACO/AE or Insurer Overall Organization ID]], 100))/I81,"NA")</f>
        <v>NA</v>
      </c>
      <c r="J84" s="100" t="str">
        <f>IFERROR(ICC2TME[[#This Row],[2022]]/ICC2TME[[#This Row],[2021]]-1,"NA")</f>
        <v>NA</v>
      </c>
      <c r="L84" s="53" t="s">
        <v>14</v>
      </c>
      <c r="M84" s="99" t="str">
        <f>IFERROR((SUMIFS(ACOAETME2021[[#All],[Claims: Professional, Primary Care]], ACOAETME2021[[#All],[Insurance Category Code]],6,ACOAETME2021[[#All],[ACO/AE or Insurer Overall Organization ID]], 100))/M81,"NA")</f>
        <v>NA</v>
      </c>
      <c r="N84" s="99" t="str">
        <f>IFERROR((SUMIFS(ACOAETME2022[[#All],[Claims: Professional, Primary Care]], ACOAETME2022[[#All],[Insurance Category Code]],6,ACOAETME2022[[#All],[ACO/AE or Insurer Overall Organization ID]], 100))/N81,"NA")</f>
        <v>NA</v>
      </c>
      <c r="O84" s="100" t="str">
        <f>IFERROR(ICC6TME[[#This Row],[2022]]/ICC6TME[[#This Row],[2021]]-1,"NA")</f>
        <v>NA</v>
      </c>
    </row>
    <row r="85" spans="2:15" x14ac:dyDescent="0.35">
      <c r="B85" s="53" t="s">
        <v>15</v>
      </c>
      <c r="C85" s="99" t="str">
        <f t="shared" si="3"/>
        <v>NA</v>
      </c>
      <c r="D85" s="99" t="str">
        <f t="shared" si="4"/>
        <v>NA</v>
      </c>
      <c r="E85" s="100" t="str">
        <f>IFERROR(MAidTotTME[[#This Row],[2022]]/MAidTotTME[[#This Row],[2021]]-1,"NA")</f>
        <v>NA</v>
      </c>
      <c r="G85" s="53" t="s">
        <v>15</v>
      </c>
      <c r="H85" s="99" t="str">
        <f>IFERROR((SUMIFS(ACOAETME2021[[#All],[Claims: Professional, Specialty Care]], ACOAETME2021[[#All],[Insurance Category Code]],2,ACOAETME2021[[#All],[ACO/AE or Insurer Overall Organization ID]], 100))/H81,"NA")</f>
        <v>NA</v>
      </c>
      <c r="I85" s="99" t="str">
        <f>IFERROR((SUMIFS(ACOAETME2022[[#All],[Claims: Professional, Specialty Care]], ACOAETME2022[[#All],[Insurance Category Code]],2,ACOAETME2022[[#All],[ACO/AE or Insurer Overall Organization ID]], 100))/I81,"NA")</f>
        <v>NA</v>
      </c>
      <c r="J85" s="100" t="str">
        <f>IFERROR(ICC2TME[[#This Row],[2022]]/ICC2TME[[#This Row],[2021]]-1,"NA")</f>
        <v>NA</v>
      </c>
      <c r="L85" s="53" t="s">
        <v>15</v>
      </c>
      <c r="M85" s="99" t="str">
        <f>IFERROR((SUMIFS(ACOAETME2021[[#All],[Claims: Professional, Specialty Care]], ACOAETME2021[[#All],[Insurance Category Code]],6,ACOAETME2021[[#All],[ACO/AE or Insurer Overall Organization ID]], 100))/M81,"NA")</f>
        <v>NA</v>
      </c>
      <c r="N85" s="99" t="str">
        <f>IFERROR((SUMIFS(ACOAETME2022[[#All],[Claims: Professional, Specialty Care]], ACOAETME2022[[#All],[Insurance Category Code]],6,ACOAETME2022[[#All],[ACO/AE or Insurer Overall Organization ID]], 100))/N81,"NA")</f>
        <v>NA</v>
      </c>
      <c r="O85" s="100" t="str">
        <f>IFERROR(ICC6TME[[#This Row],[2022]]/ICC6TME[[#This Row],[2021]]-1,"NA")</f>
        <v>NA</v>
      </c>
    </row>
    <row r="86" spans="2:15" x14ac:dyDescent="0.35">
      <c r="B86" s="53" t="s">
        <v>16</v>
      </c>
      <c r="C86" s="99" t="str">
        <f t="shared" si="3"/>
        <v>NA</v>
      </c>
      <c r="D86" s="99" t="str">
        <f t="shared" si="4"/>
        <v>NA</v>
      </c>
      <c r="E86" s="100" t="str">
        <f>IFERROR(MAidTotTME[[#This Row],[2022]]/MAidTotTME[[#This Row],[2021]]-1,"NA")</f>
        <v>NA</v>
      </c>
      <c r="G86" s="53" t="s">
        <v>16</v>
      </c>
      <c r="H86" s="99" t="str">
        <f>IFERROR((SUMIFS(ACOAETME2021[[#All],[Claims: Professional Other]], ACOAETME2021[[#All],[Insurance Category Code]],2,ACOAETME2021[[#All],[ACO/AE or Insurer Overall Organization ID]], 100))/H81,"NA")</f>
        <v>NA</v>
      </c>
      <c r="I86" s="99" t="str">
        <f>IFERROR((SUMIFS(ACOAETME2022[[#All],[Claims: Professional Other]], ACOAETME2022[[#All],[Insurance Category Code]],2,ACOAETME2022[[#All],[ACO/AE or Insurer Overall Organization ID]], 100))/I81,"NA")</f>
        <v>NA</v>
      </c>
      <c r="J86" s="100" t="str">
        <f>IFERROR(ICC2TME[[#This Row],[2022]]/ICC2TME[[#This Row],[2021]]-1,"NA")</f>
        <v>NA</v>
      </c>
      <c r="L86" s="53" t="s">
        <v>16</v>
      </c>
      <c r="M86" s="99" t="str">
        <f>IFERROR((SUMIFS(ACOAETME2021[[#All],[Claims: Professional Other]], ACOAETME2021[[#All],[Insurance Category Code]],6,ACOAETME2021[[#All],[ACO/AE or Insurer Overall Organization ID]], 100))/M81,"NA")</f>
        <v>NA</v>
      </c>
      <c r="N86" s="99" t="str">
        <f>IFERROR((SUMIFS(ACOAETME2022[[#All],[Claims: Professional Other]], ACOAETME2022[[#All],[Insurance Category Code]],6,ACOAETME2022[[#All],[ACO/AE or Insurer Overall Organization ID]], 100))/N81,"NA")</f>
        <v>NA</v>
      </c>
      <c r="O86" s="100" t="str">
        <f>IFERROR(ICC6TME[[#This Row],[2022]]/ICC6TME[[#This Row],[2021]]-1,"NA")</f>
        <v>NA</v>
      </c>
    </row>
    <row r="87" spans="2:15" x14ac:dyDescent="0.35">
      <c r="B87" s="53" t="s">
        <v>256</v>
      </c>
      <c r="C87" s="99" t="str">
        <f t="shared" si="3"/>
        <v>NA</v>
      </c>
      <c r="D87" s="99" t="str">
        <f t="shared" si="4"/>
        <v>NA</v>
      </c>
      <c r="E87" s="100" t="str">
        <f>IFERROR(MAidTotTME[[#This Row],[2022]]/MAidTotTME[[#This Row],[2021]]-1,"NA")</f>
        <v>NA</v>
      </c>
      <c r="G87" s="53" t="s">
        <v>256</v>
      </c>
      <c r="H87" s="99" t="str">
        <f>IFERROR((SUMIFS(ACOAETME2021[[#All],[Claims: Pharmacy]], ACOAETME2021[[#All],[Insurance Category Code]],2,ACOAETME2021[[#All],[ACO/AE or Insurer Overall Organization ID]], 100))/H81,"NA")</f>
        <v>NA</v>
      </c>
      <c r="I87" s="99" t="str">
        <f>IFERROR((SUMIFS(ACOAETME2022[[#All],[Claims: Pharmacy]], ACOAETME2022[[#All],[Insurance Category Code]],2,ACOAETME2022[[#All],[ACO/AE or Insurer Overall Organization ID]], 100))/I81,"NA")</f>
        <v>NA</v>
      </c>
      <c r="J87" s="100" t="str">
        <f>IFERROR(ICC2TME[[#This Row],[2022]]/ICC2TME[[#This Row],[2021]]-1,"NA")</f>
        <v>NA</v>
      </c>
      <c r="L87" s="53" t="s">
        <v>256</v>
      </c>
      <c r="M87" s="99" t="str">
        <f>IFERROR((SUMIFS(ACOAETME2021[[#All],[Claims: Pharmacy]], ACOAETME2021[[#All],[Insurance Category Code]],6,ACOAETME2021[[#All],[ACO/AE or Insurer Overall Organization ID]], 100))/M81,"NA")</f>
        <v>NA</v>
      </c>
      <c r="N87" s="99" t="str">
        <f>IFERROR((SUMIFS(ACOAETME2022[[#All],[Claims: Pharmacy]], ACOAETME2022[[#All],[Insurance Category Code]],6,ACOAETME2022[[#All],[ACO/AE or Insurer Overall Organization ID]], 100))/N81,"NA")</f>
        <v>NA</v>
      </c>
      <c r="O87" s="100" t="str">
        <f>IFERROR(ICC6TME[[#This Row],[2022]]/ICC6TME[[#This Row],[2021]]-1,"NA")</f>
        <v>NA</v>
      </c>
    </row>
    <row r="88" spans="2:15" x14ac:dyDescent="0.35">
      <c r="B88" s="101" t="s">
        <v>257</v>
      </c>
      <c r="C88" s="99" t="str">
        <f t="shared" si="3"/>
        <v>NA</v>
      </c>
      <c r="D88" s="99" t="str">
        <f t="shared" si="4"/>
        <v>NA</v>
      </c>
      <c r="E88" s="100" t="str">
        <f>IFERROR(MAidTotTME[[#This Row],[2022]]/MAidTotTME[[#This Row],[2021]]-1,"NA")</f>
        <v>NA</v>
      </c>
      <c r="G88" s="101" t="s">
        <v>257</v>
      </c>
      <c r="H88" s="99" t="str">
        <f>IFERROR((SUMIFS(ACOAETME2021[[#All],[Claims: Pharmacy]],ACOAETME2021[[#All],[Insurance Category Code]],2, ACOAETME2021[[#All],[ACO/AE or Insurer Overall Organization ID]],100)-ABS(SUMIF(RxRebates21[[#All],[Insurance Category Code]],2,RxRebates21[[#All],[Retail Pharmacy Rebates]])))/H81, "NA")</f>
        <v>NA</v>
      </c>
      <c r="I88" s="99" t="str">
        <f>IFERROR((SUMIFS(ACOAETME2022[[#All],[Claims: Pharmacy]],ACOAETME2022[[#All],[Insurance Category Code]],2, ACOAETME2022[[#All],[ACO/AE or Insurer Overall Organization ID]],100)-ABS(SUMIF(RxRebates22[[#All],[Insurance Category Code]],2,RxRebates22[[#All],[Retail Pharmacy Rebates]])))/I81, "NA")</f>
        <v>NA</v>
      </c>
      <c r="J88" s="100" t="str">
        <f>IFERROR(ICC2TME[[#This Row],[2022]]/ICC2TME[[#This Row],[2021]]-1,"NA")</f>
        <v>NA</v>
      </c>
      <c r="L88" s="101" t="s">
        <v>257</v>
      </c>
      <c r="M88" s="99" t="str">
        <f>IFERROR((SUMIFS(ACOAETME2021[[#All],[Claims: Pharmacy]],ACOAETME2021[[#All],[Insurance Category Code]],6, ACOAETME2021[[#All],[ACO/AE or Insurer Overall Organization ID]],100)-ABS(SUMIF(RxRebates21[[#All],[Insurance Category Code]],6,RxRebates21[[#All],[Retail Pharmacy Rebates]])))/M81, "NA")</f>
        <v>NA</v>
      </c>
      <c r="N88" s="99" t="str">
        <f>IFERROR((SUMIFS(ACOAETME2022[[#All],[Claims: Pharmacy]],ACOAETME2022[[#All],[Insurance Category Code]],6, ACOAETME2022[[#All],[ACO/AE or Insurer Overall Organization ID]],100)-ABS(SUMIF(RxRebates22[[#All],[Insurance Category Code]],6,RxRebates22[[#All],[Retail Pharmacy Rebates]])))/N81, "NA")</f>
        <v>NA</v>
      </c>
      <c r="O88" s="100" t="str">
        <f>IFERROR(ICC6TME[[#This Row],[2022]]/ICC6TME[[#This Row],[2021]]-1,"NA")</f>
        <v>NA</v>
      </c>
    </row>
    <row r="89" spans="2:15" x14ac:dyDescent="0.35">
      <c r="B89" s="101" t="s">
        <v>187</v>
      </c>
      <c r="C89" s="99" t="str">
        <f t="shared" si="3"/>
        <v>NA</v>
      </c>
      <c r="D89" s="99" t="str">
        <f t="shared" si="4"/>
        <v>NA</v>
      </c>
      <c r="E89" s="100" t="str">
        <f>IFERROR(MAidTotTME[[#This Row],[2022]]/MAidTotTME[[#This Row],[2021]]-1,"NA")</f>
        <v>NA</v>
      </c>
      <c r="G89" s="101" t="s">
        <v>187</v>
      </c>
      <c r="H89" s="99" t="str">
        <f>IFERROR((-ABS(SUMIF(RxRebates21[[#All],[Insurance Category Code]],2,RxRebates21[[#All],[Retail Pharmacy Rebates]])))/H81,"NA")</f>
        <v>NA</v>
      </c>
      <c r="I89" s="99" t="str">
        <f>IFERROR((-ABS(SUMIF(RxRebates22[[#All],[Insurance Category Code]],2,RxRebates22[[#All],[Retail Pharmacy Rebates]])))/I81,"NA")</f>
        <v>NA</v>
      </c>
      <c r="J89" s="100" t="str">
        <f>IFERROR(ICC2TME[[#This Row],[2022]]/ICC2TME[[#This Row],[2021]]-1,"NA")</f>
        <v>NA</v>
      </c>
      <c r="L89" s="101" t="s">
        <v>187</v>
      </c>
      <c r="M89" s="99" t="str">
        <f>IFERROR((-ABS(SUMIF(RxRebates21[[#All],[Insurance Category Code]],6,RxRebates21[[#All],[Retail Pharmacy Rebates]])))/M81,"NA")</f>
        <v>NA</v>
      </c>
      <c r="N89" s="99" t="str">
        <f>IFERROR((-ABS(SUMIF(RxRebates22[[#All],[Insurance Category Code]],6,RxRebates22[[#All],[Retail Pharmacy Rebates]])))/N81,"NA")</f>
        <v>NA</v>
      </c>
      <c r="O89" s="100" t="str">
        <f>IFERROR(ICC6TME[[#This Row],[2022]]/ICC6TME[[#This Row],[2021]]-1,"NA")</f>
        <v>NA</v>
      </c>
    </row>
    <row r="90" spans="2:15" x14ac:dyDescent="0.35">
      <c r="B90" s="53" t="s">
        <v>18</v>
      </c>
      <c r="C90" s="99" t="str">
        <f t="shared" si="3"/>
        <v>NA</v>
      </c>
      <c r="D90" s="99" t="str">
        <f t="shared" si="4"/>
        <v>NA</v>
      </c>
      <c r="E90" s="100" t="str">
        <f>IFERROR(MAidTotTME[[#This Row],[2022]]/MAidTotTME[[#This Row],[2021]]-1,"NA")</f>
        <v>NA</v>
      </c>
      <c r="G90" s="53" t="s">
        <v>18</v>
      </c>
      <c r="H90" s="99" t="str">
        <f>IFERROR((SUMIFS(ACOAETME2021[[#All],[Claims: Long-Term Care]], ACOAETME2021[[#All],[Insurance Category Code]],2,ACOAETME2021[[#All],[ACO/AE or Insurer Overall Organization ID]], 100))/H81,"NA")</f>
        <v>NA</v>
      </c>
      <c r="I90" s="99" t="str">
        <f>IFERROR((SUMIFS(ACOAETME2022[[#All],[Claims: Long-Term Care]], ACOAETME2022[[#All],[Insurance Category Code]],2,ACOAETME2022[[#All],[ACO/AE or Insurer Overall Organization ID]], 100))/I81,"NA")</f>
        <v>NA</v>
      </c>
      <c r="J90" s="100" t="str">
        <f>IFERROR(ICC2TME[[#This Row],[2022]]/ICC2TME[[#This Row],[2021]]-1,"NA")</f>
        <v>NA</v>
      </c>
      <c r="L90" s="53" t="s">
        <v>18</v>
      </c>
      <c r="M90" s="99" t="str">
        <f>IFERROR((SUMIFS(ACOAETME2021[[#All],[Claims: Long-Term Care]], ACOAETME2021[[#All],[Insurance Category Code]],6,ACOAETME2021[[#All],[ACO/AE or Insurer Overall Organization ID]], 100))/M81,"NA")</f>
        <v>NA</v>
      </c>
      <c r="N90" s="99" t="str">
        <f>IFERROR((SUMIFS(ACOAETME2022[[#All],[Claims: Long-Term Care]], ACOAETME2022[[#All],[Insurance Category Code]],6,ACOAETME2022[[#All],[ACO/AE or Insurer Overall Organization ID]], 100))/N81,"NA")</f>
        <v>NA</v>
      </c>
      <c r="O90" s="100" t="str">
        <f>IFERROR(ICC6TME[[#This Row],[2022]]/ICC6TME[[#This Row],[2021]]-1,"NA")</f>
        <v>NA</v>
      </c>
    </row>
    <row r="91" spans="2:15" x14ac:dyDescent="0.35">
      <c r="B91" s="53" t="s">
        <v>19</v>
      </c>
      <c r="C91" s="99" t="str">
        <f t="shared" si="3"/>
        <v>NA</v>
      </c>
      <c r="D91" s="99" t="str">
        <f t="shared" si="4"/>
        <v>NA</v>
      </c>
      <c r="E91" s="100" t="str">
        <f>IFERROR(MAidTotTME[[#This Row],[2022]]/MAidTotTME[[#This Row],[2021]]-1,"NA")</f>
        <v>NA</v>
      </c>
      <c r="G91" s="53" t="s">
        <v>19</v>
      </c>
      <c r="H91" s="99" t="str">
        <f>IFERROR((SUMIFS(ACOAETME2021[[#All],[Claims: Other]], ACOAETME2021[[#All],[Insurance Category Code]],2,ACOAETME2021[[#All],[ACO/AE or Insurer Overall Organization ID]], 100))/H81,"NA")</f>
        <v>NA</v>
      </c>
      <c r="I91" s="99" t="str">
        <f>IFERROR((SUMIFS(ACOAETME2022[[#All],[Claims: Other]], ACOAETME2022[[#All],[Insurance Category Code]],2,ACOAETME2022[[#All],[ACO/AE or Insurer Overall Organization ID]], 100))/I81,"NA")</f>
        <v>NA</v>
      </c>
      <c r="J91" s="100" t="str">
        <f>IFERROR(ICC2TME[[#This Row],[2022]]/ICC2TME[[#This Row],[2021]]-1,"NA")</f>
        <v>NA</v>
      </c>
      <c r="L91" s="53" t="s">
        <v>19</v>
      </c>
      <c r="M91" s="99" t="str">
        <f>IFERROR((SUMIFS(ACOAETME2021[[#All],[Claims: Other]], ACOAETME2021[[#All],[Insurance Category Code]],6,ACOAETME2021[[#All],[ACO/AE or Insurer Overall Organization ID]], 100))/M81,"NA")</f>
        <v>NA</v>
      </c>
      <c r="N91" s="99" t="str">
        <f>IFERROR((SUMIFS(ACOAETME2022[[#All],[Claims: Other]], ACOAETME2022[[#All],[Insurance Category Code]],6,ACOAETME2022[[#All],[ACO/AE or Insurer Overall Organization ID]], 100))/N81,"NA")</f>
        <v>NA</v>
      </c>
      <c r="O91" s="100" t="str">
        <f>IFERROR(ICC6TME[[#This Row],[2022]]/ICC6TME[[#This Row],[2021]]-1,"NA")</f>
        <v>NA</v>
      </c>
    </row>
    <row r="92" spans="2:15" x14ac:dyDescent="0.35">
      <c r="B92" s="102" t="s">
        <v>576</v>
      </c>
      <c r="C92" s="103" t="str">
        <f t="shared" si="3"/>
        <v>NA</v>
      </c>
      <c r="D92" s="103" t="str">
        <f t="shared" si="4"/>
        <v>NA</v>
      </c>
      <c r="E92" s="104" t="str">
        <f>IFERROR(MAidTotTME[[#This Row],[2022]]/MAidTotTME[[#This Row],[2021]]-1,"NA")</f>
        <v>NA</v>
      </c>
      <c r="G92" s="102" t="s">
        <v>576</v>
      </c>
      <c r="H92" s="103" t="str">
        <f>IFERROR((SUMIFS(ACOAETME2021[[#All],[TOTAL Non-Truncated Unadjusted Claims Expenses]], ACOAETME2021[[#All],[Insurance Category Code]],2,ACOAETME2021[[#All],[ACO/AE or Insurer Overall Organization ID]], 100))/H81,"NA")</f>
        <v>NA</v>
      </c>
      <c r="I92" s="103" t="str">
        <f>IFERROR((SUMIFS(ACOAETME2022[[#All],[TOTAL Non-Truncated Unadjusted Claims Expenses]], ACOAETME2022[[#All],[Insurance Category Code]],2,ACOAETME2022[[#All],[ACO/AE or Insurer Overall Organization ID]], 100))/I81,"NA")</f>
        <v>NA</v>
      </c>
      <c r="J92" s="104" t="str">
        <f>IFERROR(ICC2TME[[#This Row],[2022]]/ICC2TME[[#This Row],[2021]]-1,"NA")</f>
        <v>NA</v>
      </c>
      <c r="L92" s="102" t="s">
        <v>576</v>
      </c>
      <c r="M92" s="103" t="str">
        <f>IFERROR((SUMIFS(ACOAETME2021[[#All],[TOTAL Non-Truncated Unadjusted Claims Expenses]], ACOAETME2021[[#All],[Insurance Category Code]],6,ACOAETME2021[[#All],[ACO/AE or Insurer Overall Organization ID]], 100))/M81,"NA")</f>
        <v>NA</v>
      </c>
      <c r="N92" s="103" t="str">
        <f>IFERROR((SUMIFS(ACOAETME2022[[#All],[TOTAL Non-Truncated Unadjusted Claims Expenses]], ACOAETME2022[[#All],[Insurance Category Code]],6,ACOAETME2022[[#All],[ACO/AE or Insurer Overall Organization ID]], 100))/N81,"NA")</f>
        <v>NA</v>
      </c>
      <c r="O92" s="104" t="str">
        <f>IFERROR(ICC6TME[[#This Row],[2022]]/ICC6TME[[#This Row],[2021]]-1,"NA")</f>
        <v>NA</v>
      </c>
    </row>
    <row r="93" spans="2:15" x14ac:dyDescent="0.35">
      <c r="B93" s="102" t="s">
        <v>577</v>
      </c>
      <c r="C93" s="103" t="str">
        <f t="shared" si="3"/>
        <v>NA</v>
      </c>
      <c r="D93" s="103" t="str">
        <f t="shared" si="4"/>
        <v>NA</v>
      </c>
      <c r="E93" s="104" t="str">
        <f>IFERROR(MAidTotTME[[#This Row],[2022]]/MAidTotTME[[#This Row],[2021]]-1,"NA")</f>
        <v>NA</v>
      </c>
      <c r="G93" s="102" t="s">
        <v>577</v>
      </c>
      <c r="H93" s="103" t="str">
        <f>IFERROR(SUMIFS(ACOAETME2021[[#All],[TOTAL Truncated Unadjusted Claims Expenses (A19 - A17)]], ACOAETME2021[[#All],[Insurance Category Code]],2,ACOAETME2021[[#All],[ACO/AE or Insurer Overall Organization ID]],100)/H81, "NA")</f>
        <v>NA</v>
      </c>
      <c r="I93" s="103" t="str">
        <f>IFERROR(SUMIFS(ACOAETME2022[[#All],[TOTAL Truncated Unadjusted Claims Expenses (A19 - A17)]], ACOAETME2022[[#All],[Insurance Category Code]],2,ACOAETME2022[[#All],[ACO/AE or Insurer Overall Organization ID]],100)/I81, "NA")</f>
        <v>NA</v>
      </c>
      <c r="J93" s="104" t="str">
        <f>IFERROR(ICC2TME[[#This Row],[2022]]/ICC2TME[[#This Row],[2021]]-1,"NA")</f>
        <v>NA</v>
      </c>
      <c r="L93" s="102" t="s">
        <v>577</v>
      </c>
      <c r="M93" s="103" t="str">
        <f>IFERROR(SUMIFS(ACOAETME2021[[#All],[TOTAL Truncated Unadjusted Claims Expenses (A19 - A17)]], ACOAETME2021[[#All],[Insurance Category Code]],6,ACOAETME2021[[#All],[ACO/AE or Insurer Overall Organization ID]],100)/M81, "NA")</f>
        <v>NA</v>
      </c>
      <c r="N93" s="103" t="str">
        <f>IFERROR(SUMIFS(ACOAETME2022[[#All],[TOTAL Truncated Unadjusted Claims Expenses (A19 - A17)]], ACOAETME2022[[#All],[Insurance Category Code]],6,ACOAETME2022[[#All],[ACO/AE or Insurer Overall Organization ID]],100)/N81, "NA")</f>
        <v>NA</v>
      </c>
      <c r="O93" s="104" t="str">
        <f>IFERROR(ICC6TME[[#This Row],[2022]]/ICC6TME[[#This Row],[2021]]-1,"NA")</f>
        <v>NA</v>
      </c>
    </row>
    <row r="94" spans="2:15" ht="29" x14ac:dyDescent="0.35">
      <c r="B94" s="53" t="s">
        <v>109</v>
      </c>
      <c r="C94" s="99" t="str">
        <f t="shared" si="3"/>
        <v>NA</v>
      </c>
      <c r="D94" s="99" t="str">
        <f t="shared" si="4"/>
        <v>NA</v>
      </c>
      <c r="E94" s="100" t="str">
        <f>IFERROR(MAidTotTME[[#This Row],[2022]]/MAidTotTME[[#This Row],[2021]]-1,"NA")</f>
        <v>NA</v>
      </c>
      <c r="G94" s="53" t="s">
        <v>109</v>
      </c>
      <c r="H94" s="99" t="str">
        <f>IFERROR((SUMIFS(ACOAETME2021[[#All],[Non-Claims: Prospective Capitated, Prospective Global Budget, Prospective Case Rate, or Prospective Episode-Based Payments]], ACOAETME2021[[#All],[Insurance Category Code]],2,ACOAETME2021[[#All],[ACO/AE or Insurer Overall Organization ID]], 100))/H81,"NA")</f>
        <v>NA</v>
      </c>
      <c r="I94" s="99" t="str">
        <f>IFERROR((SUMIFS(ACOAETME2022[[#All],[Non-Claims: Prospective Capitated, Prospective Global Budget, Prospective Case Rate, or Prospective Episode-Based Payments]], ACOAETME2022[[#All],[Insurance Category Code]],2,ACOAETME2022[[#All],[ACO/AE or Insurer Overall Organization ID]], 100))/I81,"NA")</f>
        <v>NA</v>
      </c>
      <c r="J94" s="100" t="str">
        <f>IFERROR(ICC2TME[[#This Row],[2022]]/ICC2TME[[#This Row],[2021]]-1,"NA")</f>
        <v>NA</v>
      </c>
      <c r="L94" s="53" t="s">
        <v>109</v>
      </c>
      <c r="M94" s="99" t="str">
        <f>IFERROR((SUMIFS(ACOAETME2021[[#All],[Non-Claims: Prospective Capitated, Prospective Global Budget, Prospective Case Rate, or Prospective Episode-Based Payments]], ACOAETME2021[[#All],[Insurance Category Code]],6,ACOAETME2021[[#All],[ACO/AE or Insurer Overall Organization ID]], 100))/M81,"NA")</f>
        <v>NA</v>
      </c>
      <c r="N94" s="99" t="str">
        <f>IFERROR((SUMIFS(ACOAETME2022[[#All],[Non-Claims: Prospective Capitated, Prospective Global Budget, Prospective Case Rate, or Prospective Episode-Based Payments]], ACOAETME2022[[#All],[Insurance Category Code]],6,ACOAETME2022[[#All],[ACO/AE or Insurer Overall Organization ID]], 100))/N81,"NA")</f>
        <v>NA</v>
      </c>
      <c r="O94" s="100" t="str">
        <f>IFERROR(ICC6TME[[#This Row],[2022]]/ICC6TME[[#This Row],[2021]]-1,"NA")</f>
        <v>NA</v>
      </c>
    </row>
    <row r="95" spans="2:15" x14ac:dyDescent="0.35">
      <c r="B95" s="53" t="s">
        <v>110</v>
      </c>
      <c r="C95" s="99" t="str">
        <f t="shared" si="3"/>
        <v>NA</v>
      </c>
      <c r="D95" s="99" t="str">
        <f t="shared" si="4"/>
        <v>NA</v>
      </c>
      <c r="E95" s="100" t="str">
        <f>IFERROR(MAidTotTME[[#This Row],[2022]]/MAidTotTME[[#This Row],[2021]]-1,"NA")</f>
        <v>NA</v>
      </c>
      <c r="G95" s="53" t="s">
        <v>110</v>
      </c>
      <c r="H95" s="99" t="str">
        <f>IFERROR((SUMIFS(ACOAETME2021[[#All],[Non-Claims: Performance Incentive Payments]], ACOAETME2021[[#All],[Insurance Category Code]],2,ACOAETME2021[[#All],[ACO/AE or Insurer Overall Organization ID]], 100))/H81,"NA")</f>
        <v>NA</v>
      </c>
      <c r="I95" s="99" t="str">
        <f>IFERROR((SUMIFS(ACOAETME2022[[#All],[Non-Claims: Performance Incentive Payments]], ACOAETME2022[[#All],[Insurance Category Code]],2,ACOAETME2022[[#All],[ACO/AE or Insurer Overall Organization ID]], 100))/I81,"NA")</f>
        <v>NA</v>
      </c>
      <c r="J95" s="100" t="str">
        <f>IFERROR(ICC2TME[[#This Row],[2022]]/ICC2TME[[#This Row],[2021]]-1,"NA")</f>
        <v>NA</v>
      </c>
      <c r="L95" s="53" t="s">
        <v>110</v>
      </c>
      <c r="M95" s="99" t="str">
        <f>IFERROR((SUMIFS(ACOAETME2021[[#All],[Non-Claims: Performance Incentive Payments]], ACOAETME2021[[#All],[Insurance Category Code]],6,ACOAETME2021[[#All],[ACO/AE or Insurer Overall Organization ID]], 100))/M81,"NA")</f>
        <v>NA</v>
      </c>
      <c r="N95" s="99" t="str">
        <f>IFERROR((SUMIFS(ACOAETME2022[[#All],[Non-Claims: Performance Incentive Payments]], ACOAETME2022[[#All],[Insurance Category Code]],6,ACOAETME2022[[#All],[ACO/AE or Insurer Overall Organization ID]], 100))/N81,"NA")</f>
        <v>NA</v>
      </c>
      <c r="O95" s="100" t="str">
        <f>IFERROR(ICC6TME[[#This Row],[2022]]/ICC6TME[[#This Row],[2021]]-1,"NA")</f>
        <v>NA</v>
      </c>
    </row>
    <row r="96" spans="2:15" ht="29" x14ac:dyDescent="0.35">
      <c r="B96" s="53" t="s">
        <v>111</v>
      </c>
      <c r="C96" s="99" t="str">
        <f t="shared" si="3"/>
        <v>NA</v>
      </c>
      <c r="D96" s="99" t="str">
        <f t="shared" si="4"/>
        <v>NA</v>
      </c>
      <c r="E96" s="100" t="str">
        <f>IFERROR(MAidTotTME[[#This Row],[2022]]/MAidTotTME[[#This Row],[2021]]-1,"NA")</f>
        <v>NA</v>
      </c>
      <c r="G96" s="53" t="s">
        <v>111</v>
      </c>
      <c r="H96" s="99" t="str">
        <f>IFERROR((SUMIFS(ACOAETME2021[[#All],[Non-Claims: Payments to Support Population Health and Practice Infrastructure]], ACOAETME2021[[#All],[Insurance Category Code]],2,ACOAETME2021[[#All],[ACO/AE or Insurer Overall Organization ID]], 100))/H81,"NA")</f>
        <v>NA</v>
      </c>
      <c r="I96" s="99" t="str">
        <f>IFERROR((SUMIFS(ACOAETME2022[[#All],[Non-Claims: Payments to Support Population Health and Practice Infrastructure]], ACOAETME2022[[#All],[Insurance Category Code]],2,ACOAETME2022[[#All],[ACO/AE or Insurer Overall Organization ID]], 100))/I81,"NA")</f>
        <v>NA</v>
      </c>
      <c r="J96" s="100" t="str">
        <f>IFERROR(ICC2TME[[#This Row],[2022]]/ICC2TME[[#This Row],[2021]]-1,"NA")</f>
        <v>NA</v>
      </c>
      <c r="L96" s="53" t="s">
        <v>111</v>
      </c>
      <c r="M96" s="99" t="str">
        <f>IFERROR((SUMIFS(ACOAETME2021[[#All],[Non-Claims: Payments to Support Population Health and Practice Infrastructure]], ACOAETME2021[[#All],[Insurance Category Code]],6,ACOAETME2021[[#All],[ACO/AE or Insurer Overall Organization ID]], 100))/M81,"NA")</f>
        <v>NA</v>
      </c>
      <c r="N96" s="99" t="str">
        <f>IFERROR((SUMIFS(ACOAETME2022[[#All],[Non-Claims: Payments to Support Population Health and Practice Infrastructure]], ACOAETME2022[[#All],[Insurance Category Code]],6,ACOAETME2022[[#All],[ACO/AE or Insurer Overall Organization ID]], 100))/N81,"NA")</f>
        <v>NA</v>
      </c>
      <c r="O96" s="100" t="str">
        <f>IFERROR(ICC6TME[[#This Row],[2022]]/ICC6TME[[#This Row],[2021]]-1,"NA")</f>
        <v>NA</v>
      </c>
    </row>
    <row r="97" spans="2:15" x14ac:dyDescent="0.35">
      <c r="B97" s="53" t="s">
        <v>112</v>
      </c>
      <c r="C97" s="99" t="str">
        <f t="shared" si="3"/>
        <v>NA</v>
      </c>
      <c r="D97" s="99" t="str">
        <f t="shared" si="4"/>
        <v>NA</v>
      </c>
      <c r="E97" s="100" t="str">
        <f>IFERROR(MAidTotTME[[#This Row],[2022]]/MAidTotTME[[#This Row],[2021]]-1,"NA")</f>
        <v>NA</v>
      </c>
      <c r="G97" s="53" t="s">
        <v>112</v>
      </c>
      <c r="H97" s="99" t="str">
        <f>IFERROR((SUMIFS(ACOAETME2021[[#All],[Non-Claims: Provider Salaries]], ACOAETME2021[[#All],[Insurance Category Code]],2,ACOAETME2021[[#All],[ACO/AE or Insurer Overall Organization ID]], 100))/H81,"NA")</f>
        <v>NA</v>
      </c>
      <c r="I97" s="99" t="str">
        <f>IFERROR((SUMIFS(ACOAETME2022[[#All],[Non-Claims: Provider Salaries]], ACOAETME2022[[#All],[Insurance Category Code]],2,ACOAETME2022[[#All],[ACO/AE or Insurer Overall Organization ID]], 100))/I81,"NA")</f>
        <v>NA</v>
      </c>
      <c r="J97" s="100" t="str">
        <f>IFERROR(ICC2TME[[#This Row],[2022]]/ICC2TME[[#This Row],[2021]]-1,"NA")</f>
        <v>NA</v>
      </c>
      <c r="L97" s="53" t="s">
        <v>112</v>
      </c>
      <c r="M97" s="99" t="str">
        <f>IFERROR((SUMIFS(ACOAETME2021[[#All],[Non-Claims: Provider Salaries]], ACOAETME2021[[#All],[Insurance Category Code]],6,ACOAETME2021[[#All],[ACO/AE or Insurer Overall Organization ID]], 100))/M81,"NA")</f>
        <v>NA</v>
      </c>
      <c r="N97" s="99" t="str">
        <f>IFERROR((SUMIFS(ACOAETME2022[[#All],[Non-Claims: Provider Salaries]], ACOAETME2022[[#All],[Insurance Category Code]],6,ACOAETME2022[[#All],[ACO/AE or Insurer Overall Organization ID]], 100))/N81,"NA")</f>
        <v>NA</v>
      </c>
      <c r="O97" s="100" t="str">
        <f>IFERROR(ICC6TME[[#This Row],[2022]]/ICC6TME[[#This Row],[2021]]-1,"NA")</f>
        <v>NA</v>
      </c>
    </row>
    <row r="98" spans="2:15" x14ac:dyDescent="0.35">
      <c r="B98" s="53" t="s">
        <v>84</v>
      </c>
      <c r="C98" s="99" t="str">
        <f t="shared" si="3"/>
        <v>NA</v>
      </c>
      <c r="D98" s="99" t="str">
        <f t="shared" si="4"/>
        <v>NA</v>
      </c>
      <c r="E98" s="100" t="str">
        <f>IFERROR(MAidTotTME[[#This Row],[2022]]/MAidTotTME[[#This Row],[2021]]-1,"NA")</f>
        <v>NA</v>
      </c>
      <c r="G98" s="53" t="s">
        <v>84</v>
      </c>
      <c r="H98" s="99" t="str">
        <f>IFERROR((SUMIFS(ACOAETME2021[[#All],[Non-Claims: Recoveries]], ACOAETME2021[[#All],[Insurance Category Code]],2,ACOAETME2021[[#All],[ACO/AE or Insurer Overall Organization ID]], 100))/H81,"NA")</f>
        <v>NA</v>
      </c>
      <c r="I98" s="99" t="str">
        <f>IFERROR((SUMIFS(ACOAETME2022[[#All],[Non-Claims: Recoveries]], ACOAETME2022[[#All],[Insurance Category Code]],2,ACOAETME2022[[#All],[ACO/AE or Insurer Overall Organization ID]], 100))/I81,"NA")</f>
        <v>NA</v>
      </c>
      <c r="J98" s="100" t="str">
        <f>IFERROR(ICC2TME[[#This Row],[2022]]/ICC2TME[[#This Row],[2021]]-1,"NA")</f>
        <v>NA</v>
      </c>
      <c r="L98" s="53" t="s">
        <v>84</v>
      </c>
      <c r="M98" s="99" t="str">
        <f>IFERROR((SUMIFS(ACOAETME2021[[#All],[Non-Claims: Recoveries]], ACOAETME2021[[#All],[Insurance Category Code]],6,ACOAETME2021[[#All],[ACO/AE or Insurer Overall Organization ID]], 100))/M81,"NA")</f>
        <v>NA</v>
      </c>
      <c r="N98" s="99" t="str">
        <f>IFERROR((SUMIFS(ACOAETME2022[[#All],[Non-Claims: Recoveries]], ACOAETME2022[[#All],[Insurance Category Code]],6,ACOAETME2022[[#All],[ACO/AE or Insurer Overall Organization ID]], 100))/N81,"NA")</f>
        <v>NA</v>
      </c>
      <c r="O98" s="100" t="str">
        <f>IFERROR(ICC6TME[[#This Row],[2022]]/ICC6TME[[#This Row],[2021]]-1,"NA")</f>
        <v>NA</v>
      </c>
    </row>
    <row r="99" spans="2:15" x14ac:dyDescent="0.35">
      <c r="B99" s="53" t="s">
        <v>85</v>
      </c>
      <c r="C99" s="99" t="str">
        <f t="shared" si="3"/>
        <v>NA</v>
      </c>
      <c r="D99" s="99" t="str">
        <f t="shared" si="4"/>
        <v>NA</v>
      </c>
      <c r="E99" s="100" t="str">
        <f>IFERROR(MAidTotTME[[#This Row],[2022]]/MAidTotTME[[#This Row],[2021]]-1,"NA")</f>
        <v>NA</v>
      </c>
      <c r="G99" s="53" t="s">
        <v>85</v>
      </c>
      <c r="H99" s="99" t="str">
        <f>IFERROR((SUMIFS(ACOAETME2021[[#All],[Non-Claims: Other]], ACOAETME2021[[#All],[Insurance Category Code]],2,ACOAETME2021[[#All],[ACO/AE or Insurer Overall Organization ID]], 100))/H81,"NA")</f>
        <v>NA</v>
      </c>
      <c r="I99" s="99" t="str">
        <f>IFERROR((SUMIFS(ACOAETME2022[[#All],[Non-Claims: Other]], ACOAETME2022[[#All],[Insurance Category Code]],2,ACOAETME2022[[#All],[ACO/AE or Insurer Overall Organization ID]], 100))/I81,"NA")</f>
        <v>NA</v>
      </c>
      <c r="J99" s="100" t="str">
        <f>IFERROR(ICC2TME[[#This Row],[2022]]/ICC2TME[[#This Row],[2021]]-1,"NA")</f>
        <v>NA</v>
      </c>
      <c r="L99" s="53" t="s">
        <v>85</v>
      </c>
      <c r="M99" s="99" t="str">
        <f>IFERROR((SUMIFS(ACOAETME2021[[#All],[Non-Claims: Other]], ACOAETME2021[[#All],[Insurance Category Code]],6,ACOAETME2021[[#All],[ACO/AE or Insurer Overall Organization ID]], 100))/M81,"NA")</f>
        <v>NA</v>
      </c>
      <c r="N99" s="99" t="str">
        <f>IFERROR((SUMIFS(ACOAETME2022[[#All],[Non-Claims: Other]], ACOAETME2022[[#All],[Insurance Category Code]],6,ACOAETME2022[[#All],[ACO/AE or Insurer Overall Organization ID]], 100))/N81,"NA")</f>
        <v>NA</v>
      </c>
      <c r="O99" s="100" t="str">
        <f>IFERROR(ICC6TME[[#This Row],[2022]]/ICC6TME[[#This Row],[2021]]-1,"NA")</f>
        <v>NA</v>
      </c>
    </row>
    <row r="100" spans="2:15" x14ac:dyDescent="0.35">
      <c r="B100" s="102" t="s">
        <v>129</v>
      </c>
      <c r="C100" s="103" t="str">
        <f t="shared" si="3"/>
        <v>NA</v>
      </c>
      <c r="D100" s="103" t="str">
        <f t="shared" si="4"/>
        <v>NA</v>
      </c>
      <c r="E100" s="104" t="str">
        <f>IFERROR(MAidTotTME[[#This Row],[2022]]/MAidTotTME[[#This Row],[2021]]-1,"NA")</f>
        <v>NA</v>
      </c>
      <c r="G100" s="102" t="s">
        <v>129</v>
      </c>
      <c r="H100" s="103" t="str">
        <f>IFERROR((SUMIFS(ACOAETME2021[[#All],[TOTAL Non-Claims Expenses]], ACOAETME2021[[#All],[Insurance Category Code]],2,ACOAETME2021[[#All],[ACO/AE or Insurer Overall Organization ID]], 100))/H81,"NA")</f>
        <v>NA</v>
      </c>
      <c r="I100" s="103" t="str">
        <f>IFERROR((SUMIFS(ACOAETME2022[[#All],[TOTAL Non-Claims Expenses]], ACOAETME2022[[#All],[Insurance Category Code]],2,ACOAETME2022[[#All],[ACO/AE or Insurer Overall Organization ID]], 100))/I81,"NA")</f>
        <v>NA</v>
      </c>
      <c r="J100" s="104" t="str">
        <f>IFERROR(ICC2TME[[#This Row],[2022]]/ICC2TME[[#This Row],[2021]]-1,"NA")</f>
        <v>NA</v>
      </c>
      <c r="L100" s="102" t="s">
        <v>129</v>
      </c>
      <c r="M100" s="103" t="str">
        <f>IFERROR((SUMIFS(ACOAETME2021[[#All],[TOTAL Non-Claims Expenses]], ACOAETME2021[[#All],[Insurance Category Code]],6,ACOAETME2021[[#All],[ACO/AE or Insurer Overall Organization ID]], 100))/M81,"NA")</f>
        <v>NA</v>
      </c>
      <c r="N100" s="103" t="str">
        <f>IFERROR((SUMIFS(ACOAETME2022[[#All],[TOTAL Non-Claims Expenses]], ACOAETME2022[[#All],[Insurance Category Code]],6,ACOAETME2022[[#All],[ACO/AE or Insurer Overall Organization ID]], 100))/N81,"NA")</f>
        <v>NA</v>
      </c>
      <c r="O100" s="104" t="str">
        <f>IFERROR(ICC6TME[[#This Row],[2022]]/ICC6TME[[#This Row],[2021]]-1,"NA")</f>
        <v>NA</v>
      </c>
    </row>
    <row r="101" spans="2:15" ht="14.5" customHeight="1" x14ac:dyDescent="0.35">
      <c r="B101" s="106" t="s">
        <v>579</v>
      </c>
      <c r="C101" s="111" t="str">
        <f t="shared" si="3"/>
        <v>NA</v>
      </c>
      <c r="D101" s="111" t="str">
        <f t="shared" si="4"/>
        <v>NA</v>
      </c>
      <c r="E101" s="112" t="str">
        <f>IFERROR(MAidTotTME[[#This Row],[2022]]/MAidTotTME[[#This Row],[2021]]-1,"NA")</f>
        <v>NA</v>
      </c>
      <c r="G101" s="106" t="s">
        <v>579</v>
      </c>
      <c r="H101" s="353" t="str">
        <f>IFERROR((SUMIFS(ACOAETME2021[[#All],[TOTAL Non-Truncated Unadjusted Expenses 
(A19+A21)]], ACOAETME2021[[#All],[Insurance Category Code]],2, ACOAETME2021[[#All],[ACO/AE or Insurer Overall Organization ID]], 100))/H81, "NA")</f>
        <v>NA</v>
      </c>
      <c r="I101" s="353" t="str">
        <f>IFERROR((SUMIFS(ACOAETME2022[[#All],[TOTAL Non-Truncated Unadjusted Expenses 
(A19+A21)]], ACOAETME2022[[#All],[Insurance Category Code]],2, ACOAETME2022[[#All],[ACO/AE or Insurer Overall Organization ID]], 100))/I81, "NA")</f>
        <v>NA</v>
      </c>
      <c r="J101" s="112" t="str">
        <f>IFERROR(ICC2TME[[#This Row],[2022]]/ICC2TME[[#This Row],[2021]]-1,"NA")</f>
        <v>NA</v>
      </c>
      <c r="L101" s="106" t="s">
        <v>579</v>
      </c>
      <c r="M101" s="353" t="str">
        <f>IFERROR((SUMIFS(ACOAETME2021[[#All],[TOTAL Non-Truncated Unadjusted Expenses 
(A19+A21)]], ACOAETME2021[[#All],[Insurance Category Code]],6, ACOAETME2021[[#All],[ACO/AE or Insurer Overall Organization ID]], 100))/M81, "NA")</f>
        <v>NA</v>
      </c>
      <c r="N101" s="353" t="str">
        <f>IFERROR((SUMIFS(ACOAETME2022[[#All],[TOTAL Non-Truncated Unadjusted Expenses 
(A19+A21)]], ACOAETME2022[[#All],[Insurance Category Code]],6, ACOAETME2022[[#All],[ACO/AE or Insurer Overall Organization ID]], 100))/N81, "NA")</f>
        <v>NA</v>
      </c>
      <c r="O101" s="112" t="str">
        <f>IFERROR(ICC6TME[[#This Row],[2022]]/ICC6TME[[#This Row],[2021]]-1,"NA")</f>
        <v>NA</v>
      </c>
    </row>
    <row r="102" spans="2:15" x14ac:dyDescent="0.35">
      <c r="B102" s="106" t="s">
        <v>580</v>
      </c>
      <c r="C102" s="111" t="str">
        <f t="shared" si="3"/>
        <v>NA</v>
      </c>
      <c r="D102" s="111" t="str">
        <f t="shared" si="4"/>
        <v>NA</v>
      </c>
      <c r="E102" s="112" t="str">
        <f>IFERROR(MAidTotTME[[#This Row],[2022]]/MAidTotTME[[#This Row],[2021]]-1,"NA")</f>
        <v>NA</v>
      </c>
      <c r="G102" s="106" t="s">
        <v>580</v>
      </c>
      <c r="H102" s="353" t="str">
        <f>IFERROR(((SUMIFS(ACOAETME2021[TOTAL Non-Truncated Unadjusted Expenses 
(A19+A21)], ACOAETME2021[Insurance Category Code],2, ACOAETME2021[ACO/AE or Insurer Overall Organization ID], 100))-ABS(SUMIF(RxRebates21[Insurance Category Code], 2, RxRebates21[Total Pharmacy Rebates])))/H81, "NA")</f>
        <v>NA</v>
      </c>
      <c r="I102" s="353" t="str">
        <f>IFERROR(((SUMIFS(ACOAETME2022[TOTAL Non-Truncated Unadjusted Expenses 
(A19+A21)], ACOAETME2022[Insurance Category Code],2, ACOAETME2022[ACO/AE or Insurer Overall Organization ID], 100))-ABS(SUMIF(RxRebates22[Insurance Category Code], 2, RxRebates22[Total Pharmacy Rebates])))/I81, "NA")</f>
        <v>NA</v>
      </c>
      <c r="J102" s="112" t="str">
        <f>IFERROR(ICC2TME[[#This Row],[2022]]/ICC2TME[[#This Row],[2021]]-1,"NA")</f>
        <v>NA</v>
      </c>
      <c r="L102" s="106" t="s">
        <v>580</v>
      </c>
      <c r="M102" s="353" t="str">
        <f>IFERROR((SUMIFS(ACOAETME2021[[#All],[TOTAL Non-Truncated Unadjusted Expenses 
(A19+A21)]], ACOAETME2021[[#All],[Insurance Category Code]],6, ACOAETME2021[[#All],[ACO/AE or Insurer Overall Organization ID]], 100))-ABS(SUMIF(RxRebates21[[#All],[Insurance Category Code]], 6, RxRebates21[[#All],[Total Pharmacy Rebates]]))/M81, "NA")</f>
        <v>NA</v>
      </c>
      <c r="N102" s="353" t="str">
        <f>IFERROR((SUMIFS(ACOAETME2022[TOTAL Non-Truncated Unadjusted Expenses 
(A19+A21)], ACOAETME2022[Insurance Category Code],6, ACOAETME2022[ACO/AE or Insurer Overall Organization ID], 100))-ABS(SUMIF(RxRebates22[Insurance Category Code],6, RxRebates22[Total Pharmacy Rebates]))/N81, "NA")</f>
        <v>NA</v>
      </c>
      <c r="O102" s="112" t="str">
        <f>IFERROR(ICC6TME[[#This Row],[2022]]/ICC6TME[[#This Row],[2021]]-1,"NA")</f>
        <v>NA</v>
      </c>
    </row>
    <row r="103" spans="2:15" x14ac:dyDescent="0.35">
      <c r="B103" s="106" t="s">
        <v>581</v>
      </c>
      <c r="C103" s="111" t="str">
        <f t="shared" si="3"/>
        <v>NA</v>
      </c>
      <c r="D103" s="111" t="str">
        <f t="shared" si="4"/>
        <v>NA</v>
      </c>
      <c r="E103" s="112" t="str">
        <f>IFERROR(MAidTotTME[[#This Row],[2022]]/MAidTotTME[[#This Row],[2021]]-1,"NA")</f>
        <v>NA</v>
      </c>
      <c r="G103" s="106" t="s">
        <v>581</v>
      </c>
      <c r="H103" s="107" t="str">
        <f>IFERROR((SUMIFS(ACOAETME2021[[#All],[TOTAL Truncated Unadjusted Expenses (A20+A21)]], ACOAETME2021[[#All],[Insurance Category Code]],2, ACOAETME2021[[#All],[ACO/AE or Insurer Overall Organization ID]], 100))/H81, "NA")</f>
        <v>NA</v>
      </c>
      <c r="I103" s="353" t="str">
        <f>IFERROR((SUMIFS(ACOAETME2022[[#All],[TOTAL Truncated Unadjusted Expenses (A20+A21)]], ACOAETME2022[[#All],[Insurance Category Code]],2, ACOAETME2022[[#All],[ACO/AE or Insurer Overall Organization ID]], 100))/I81, "NA")</f>
        <v>NA</v>
      </c>
      <c r="J103" s="112" t="str">
        <f>IFERROR(ICC2TME[[#This Row],[2022]]/ICC2TME[[#This Row],[2021]]-1,"NA")</f>
        <v>NA</v>
      </c>
      <c r="L103" s="106" t="s">
        <v>581</v>
      </c>
      <c r="M103" s="107" t="str">
        <f>IFERROR((SUMIFS(ACOAETME2021[[#All],[TOTAL Truncated Unadjusted Expenses (A20+A21)]], ACOAETME2021[[#All],[Insurance Category Code]],6, ACOAETME2021[[#All],[ACO/AE or Insurer Overall Organization ID]], 100))/M81, "NA")</f>
        <v>NA</v>
      </c>
      <c r="N103" s="107" t="str">
        <f>IFERROR((SUMIFS(ACOAETME2022[[#All],[TOTAL Truncated Unadjusted Expenses (A20+A21)]], ACOAETME2022[[#All],[Insurance Category Code]],6, ACOAETME2022[[#All],[ACO/AE or Insurer Overall Organization ID]], 100))/N81, "NA")</f>
        <v>NA</v>
      </c>
      <c r="O103" s="112" t="str">
        <f>IFERROR(ICC6TME[[#This Row],[2022]]/ICC6TME[[#This Row],[2021]]-1,"NA")</f>
        <v>NA</v>
      </c>
    </row>
    <row r="104" spans="2:15" x14ac:dyDescent="0.35">
      <c r="B104" s="109" t="s">
        <v>582</v>
      </c>
      <c r="C104" s="113" t="str">
        <f t="shared" si="3"/>
        <v>NA</v>
      </c>
      <c r="D104" s="113" t="str">
        <f t="shared" si="4"/>
        <v>NA</v>
      </c>
      <c r="E104" s="114" t="str">
        <f>IFERROR(MAidTotTME[[#This Row],[2022]]/MAidTotTME[[#This Row],[2021]]-1,"NA")</f>
        <v>NA</v>
      </c>
      <c r="G104" s="109" t="s">
        <v>582</v>
      </c>
      <c r="H104" s="110" t="str">
        <f>IFERROR(((SUMIFS(ACOAETME2021[[#All],[TOTAL Truncated Unadjusted Expenses (A20+A21)]], ACOAETME2021[[#All],[Insurance Category Code]],2, ACOAETME2021[[#All],[ACO/AE or Insurer Overall Organization ID]], 100))-ABS(SUMIF(RxRebates21[[#All],[Insurance Category Code]], 2, RxRebates21[[#All],[Total Pharmacy Rebates]])))/H81, "NA")</f>
        <v>NA</v>
      </c>
      <c r="I104" s="353" t="str">
        <f>IFERROR(((SUMIFS(ACOAETME2022[[#All],[TOTAL Truncated Unadjusted Expenses (A20+A21)]], ACOAETME2022[[#All],[Insurance Category Code]],2, ACOAETME2022[[#All],[ACO/AE or Insurer Overall Organization ID]], 100))-ABS(SUMIF(RxRebates22[[#All],[Insurance Category Code]], 2, RxRebates22[[#All],[Total Pharmacy Rebates]])))/I81, "NA")</f>
        <v>NA</v>
      </c>
      <c r="J104" s="114" t="str">
        <f>IFERROR(ICC2TME[[#This Row],[2022]]/ICC2TME[[#This Row],[2021]]-1,"NA")</f>
        <v>NA</v>
      </c>
      <c r="L104" s="109" t="s">
        <v>582</v>
      </c>
      <c r="M104" s="110" t="str">
        <f>IFERROR((SUMIFS(ACOAETME2021[[#All],[TOTAL Truncated Unadjusted Expenses (A20+A21)]], ACOAETME2021[[#All],[Insurance Category Code]],6, ACOAETME2021[ACO/AE or Insurer Overall Organization ID], 100))-ABS(SUMIF(RxRebates21[[#All],[Insurance Category Code]], 6, RxRebates21[[#All],[Total Pharmacy Rebates]]))/M81, "NA")</f>
        <v>NA</v>
      </c>
      <c r="N104" s="110" t="str">
        <f>IFERROR((SUMIFS(ACOAETME2022[[#All],[TOTAL Truncated Unadjusted Expenses (A20+A21)]], ACOAETME2022[[#All],[Insurance Category Code]],6, ACOAETME2022[ACO/AE or Insurer Overall Organization ID], 100))-ABS(SUMIF(RxRebates22[[#All],[Insurance Category Code]],6, RxRebates22[[#All],[Total Pharmacy Rebates]]))/N81, "NA")</f>
        <v>NA</v>
      </c>
      <c r="O104" s="114" t="str">
        <f>IFERROR(ICC6TME[[#This Row],[2022]]/ICC6TME[[#This Row],[2021]]-1,"NA")</f>
        <v>NA</v>
      </c>
    </row>
    <row r="106" spans="2:15" ht="15.5" x14ac:dyDescent="0.35">
      <c r="B106" s="42" t="s">
        <v>134</v>
      </c>
      <c r="G106" s="42" t="s">
        <v>202</v>
      </c>
      <c r="L106" s="42" t="s">
        <v>135</v>
      </c>
    </row>
    <row r="107" spans="2:15" x14ac:dyDescent="0.35">
      <c r="B107" s="46" t="s">
        <v>583</v>
      </c>
      <c r="G107" s="46" t="s">
        <v>583</v>
      </c>
      <c r="L107" s="46" t="s">
        <v>583</v>
      </c>
    </row>
    <row r="108" spans="2:15" x14ac:dyDescent="0.35">
      <c r="B108" s="79" t="s">
        <v>116</v>
      </c>
      <c r="C108" s="80" t="s">
        <v>525</v>
      </c>
      <c r="D108" s="80" t="s">
        <v>669</v>
      </c>
      <c r="E108" s="81" t="s">
        <v>115</v>
      </c>
      <c r="G108" s="82" t="s">
        <v>116</v>
      </c>
      <c r="H108" s="83" t="s">
        <v>525</v>
      </c>
      <c r="I108" s="83" t="s">
        <v>669</v>
      </c>
      <c r="J108" s="84" t="s">
        <v>115</v>
      </c>
      <c r="L108" s="85" t="s">
        <v>116</v>
      </c>
      <c r="M108" s="86" t="s">
        <v>525</v>
      </c>
      <c r="N108" s="86" t="s">
        <v>669</v>
      </c>
      <c r="O108" s="87" t="s">
        <v>115</v>
      </c>
    </row>
    <row r="109" spans="2:15" x14ac:dyDescent="0.35">
      <c r="B109" s="53" t="s">
        <v>87</v>
      </c>
      <c r="C109" s="194">
        <f>IFERROR(SUM(H109,M109),"NA")</f>
        <v>0</v>
      </c>
      <c r="D109" s="194">
        <f>IFERROR(SUM(I109,N109),"NA")</f>
        <v>0</v>
      </c>
      <c r="E109" s="90" t="str">
        <f>IFERROR(MCareTotTME[[#This Row],[2022]]/MCareTotTME[[#This Row],[2021]]-1,"NA")</f>
        <v>NA</v>
      </c>
      <c r="G109" s="53" t="s">
        <v>87</v>
      </c>
      <c r="H109" s="194">
        <f>SUMIFS(ACOAETME2021[[#All],[Member Months]], ACOAETME2021[[#All],[Insurance Category Code]],1, ACOAETME2021[[#All],[ACO/AE or Insurer Overall Organization ID]], 100)</f>
        <v>0</v>
      </c>
      <c r="I109" s="194">
        <f>SUMIFS(ACOAETME2022[[#All],[Member Months]], ACOAETME2022[[#All],[Insurance Category Code]],1, ACOAETME2022[[#All],[ACO/AE or Insurer Overall Organization ID]], 100)</f>
        <v>0</v>
      </c>
      <c r="J109" s="100" t="str">
        <f>IFERROR(ICC1TME[[#This Row],[2022]]/ICC1TME[[#This Row],[2021]]-1,"NA")</f>
        <v>NA</v>
      </c>
      <c r="L109" s="53" t="s">
        <v>87</v>
      </c>
      <c r="M109" s="194">
        <f>SUMIFS(ACOAETME2021[[#All],[Member Months]], ACOAETME2021[[#All],[Insurance Category Code]],5, ACOAETME2021[[#All],[ACO/AE or Insurer Overall Organization ID]], 100)</f>
        <v>0</v>
      </c>
      <c r="N109" s="194">
        <f>SUMIFS(ACOAETME2022[[#All],[Member Months]], ACOAETME2022[[#All],[Insurance Category Code]],5, ACOAETME2022[[#All],[ACO/AE or Insurer Overall Organization ID]], 100)</f>
        <v>0</v>
      </c>
      <c r="O109" s="90" t="str">
        <f>IFERROR(ICC5TME[[#This Row],[2022]]/ICC5TME[[#This Row],[2021]]-1,"NA")</f>
        <v>NA</v>
      </c>
    </row>
    <row r="110" spans="2:15" x14ac:dyDescent="0.35">
      <c r="B110" s="53" t="s">
        <v>12</v>
      </c>
      <c r="C110" s="99" t="str">
        <f>IFERROR((SUMPRODUCT(H110,$H$109)+SUMPRODUCT(M110,$M$109))/$C$109,"NA")</f>
        <v>NA</v>
      </c>
      <c r="D110" s="99" t="str">
        <f>IFERROR((SUMPRODUCT(I110,$I$109)+SUMPRODUCT(N110,$N$109))/$D$109,"NA")</f>
        <v>NA</v>
      </c>
      <c r="E110" s="100" t="str">
        <f>IFERROR(MCareTotTME[[#This Row],[2022]]/MCareTotTME[[#This Row],[2021]]-1,"NA")</f>
        <v>NA</v>
      </c>
      <c r="G110" s="53" t="s">
        <v>12</v>
      </c>
      <c r="H110" s="99" t="str">
        <f>IFERROR((SUMIFS(ACOAETME2021[[#All],[Claims: Hospital Inpatient]], ACOAETME2021[[#All],[Insurance Category Code]],1,ACOAETME2021[[#All],[ACO/AE or Insurer Overall Organization ID]], 100))/H109,"NA")</f>
        <v>NA</v>
      </c>
      <c r="I110" s="99" t="str">
        <f>IFERROR((SUMIFS(ACOAETME2022[[#All],[Claims: Hospital Inpatient]], ACOAETME2022[[#All],[Insurance Category Code]],1,ACOAETME2022[[#All],[ACO/AE or Insurer Overall Organization ID]], 100))/I109,"NA")</f>
        <v>NA</v>
      </c>
      <c r="J110" s="100" t="str">
        <f>IFERROR(ICC1TME[[#This Row],[2022]]/ICC1TME[[#This Row],[2021]]-1,"NA")</f>
        <v>NA</v>
      </c>
      <c r="L110" s="53" t="s">
        <v>12</v>
      </c>
      <c r="M110" s="99" t="str">
        <f>IFERROR((SUMIFS(ACOAETME2021[[#All],[Claims: Hospital Inpatient]], ACOAETME2021[[#All],[Insurance Category Code]],5,ACOAETME2021[[#All],[ACO/AE or Insurer Overall Organization ID]], 100))/M109,"NA")</f>
        <v>NA</v>
      </c>
      <c r="N110" s="99" t="str">
        <f>IFERROR((SUMIFS(ACOAETME2022[[#All],[Claims: Hospital Inpatient]], ACOAETME2022[[#All],[Insurance Category Code]],5,ACOAETME2022[[#All],[ACO/AE or Insurer Overall Organization ID]], 100))/N109,"NA")</f>
        <v>NA</v>
      </c>
      <c r="O110" s="100" t="str">
        <f>IFERROR(ICC5TME[[#This Row],[2022]]/ICC5TME[[#This Row],[2021]]-1,"NA")</f>
        <v>NA</v>
      </c>
    </row>
    <row r="111" spans="2:15" x14ac:dyDescent="0.35">
      <c r="B111" s="53" t="s">
        <v>13</v>
      </c>
      <c r="C111" s="99" t="str">
        <f t="shared" ref="C111:C132" si="5">IFERROR((SUMPRODUCT(H111,$H$109)+SUMPRODUCT(M111,$M$109))/$C$109,"NA")</f>
        <v>NA</v>
      </c>
      <c r="D111" s="99" t="str">
        <f t="shared" ref="D111:D132" si="6">IFERROR((SUMPRODUCT(I111,$I$109)+SUMPRODUCT(N111,$N$109))/$D$109,"NA")</f>
        <v>NA</v>
      </c>
      <c r="E111" s="100" t="str">
        <f>IFERROR(MCareTotTME[[#This Row],[2022]]/MCareTotTME[[#This Row],[2021]]-1,"NA")</f>
        <v>NA</v>
      </c>
      <c r="G111" s="53" t="s">
        <v>13</v>
      </c>
      <c r="H111" s="99" t="str">
        <f>IFERROR((SUMIFS(ACOAETME2021[[#All],[Claims: Hospital Outpatient]], ACOAETME2021[[#All],[Insurance Category Code]],1,ACOAETME2021[[#All],[ACO/AE or Insurer Overall Organization ID]], 100))/H109,"NA")</f>
        <v>NA</v>
      </c>
      <c r="I111" s="99" t="str">
        <f>IFERROR((SUMIFS(ACOAETME2022[[#All],[Claims: Hospital Outpatient]], ACOAETME2022[[#All],[Insurance Category Code]],1,ACOAETME2022[[#All],[ACO/AE or Insurer Overall Organization ID]], 100))/I109,"NA")</f>
        <v>NA</v>
      </c>
      <c r="J111" s="100" t="str">
        <f>IFERROR(ICC1TME[[#This Row],[2022]]/ICC1TME[[#This Row],[2021]]-1,"NA")</f>
        <v>NA</v>
      </c>
      <c r="L111" s="53" t="s">
        <v>13</v>
      </c>
      <c r="M111" s="99" t="str">
        <f>IFERROR((SUMIFS(ACOAETME2021[[#All],[Claims: Hospital Outpatient]], ACOAETME2021[[#All],[Insurance Category Code]],5,ACOAETME2021[[#All],[ACO/AE or Insurer Overall Organization ID]], 100))/M109,"NA")</f>
        <v>NA</v>
      </c>
      <c r="N111" s="99" t="str">
        <f>IFERROR((SUMIFS(ACOAETME2022[[#All],[Claims: Hospital Outpatient]], ACOAETME2022[[#All],[Insurance Category Code]],5,ACOAETME2022[[#All],[ACO/AE or Insurer Overall Organization ID]], 100))/N109,"NA")</f>
        <v>NA</v>
      </c>
      <c r="O111" s="100" t="str">
        <f>IFERROR(ICC5TME[[#This Row],[2022]]/ICC5TME[[#This Row],[2021]]-1,"NA")</f>
        <v>NA</v>
      </c>
    </row>
    <row r="112" spans="2:15" x14ac:dyDescent="0.35">
      <c r="B112" s="53" t="s">
        <v>14</v>
      </c>
      <c r="C112" s="99" t="str">
        <f t="shared" si="5"/>
        <v>NA</v>
      </c>
      <c r="D112" s="99" t="str">
        <f t="shared" si="6"/>
        <v>NA</v>
      </c>
      <c r="E112" s="100" t="str">
        <f>IFERROR(MCareTotTME[[#This Row],[2022]]/MCareTotTME[[#This Row],[2021]]-1,"NA")</f>
        <v>NA</v>
      </c>
      <c r="G112" s="53" t="s">
        <v>14</v>
      </c>
      <c r="H112" s="99" t="str">
        <f>IFERROR((SUMIFS(ACOAETME2021[[#All],[Claims: Professional, Primary Care]], ACOAETME2021[[#All],[Insurance Category Code]],1,ACOAETME2021[[#All],[ACO/AE or Insurer Overall Organization ID]], 100))/H109,"NA")</f>
        <v>NA</v>
      </c>
      <c r="I112" s="99" t="str">
        <f>IFERROR((SUMIFS(ACOAETME2022[[#All],[Claims: Professional, Primary Care]], ACOAETME2022[[#All],[Insurance Category Code]],1,ACOAETME2022[[#All],[ACO/AE or Insurer Overall Organization ID]], 100))/I109,"NA")</f>
        <v>NA</v>
      </c>
      <c r="J112" s="100" t="str">
        <f>IFERROR(ICC1TME[[#This Row],[2022]]/ICC1TME[[#This Row],[2021]]-1,"NA")</f>
        <v>NA</v>
      </c>
      <c r="L112" s="53" t="s">
        <v>14</v>
      </c>
      <c r="M112" s="99" t="str">
        <f>IFERROR((SUMIFS(ACOAETME2021[[#All],[Claims: Professional, Primary Care]], ACOAETME2021[[#All],[Insurance Category Code]],5,ACOAETME2021[[#All],[ACO/AE or Insurer Overall Organization ID]], 100))/M109,"NA")</f>
        <v>NA</v>
      </c>
      <c r="N112" s="99" t="str">
        <f>IFERROR((SUMIFS(ACOAETME2022[[#All],[Claims: Professional, Primary Care]], ACOAETME2022[[#All],[Insurance Category Code]],5,ACOAETME2022[[#All],[ACO/AE or Insurer Overall Organization ID]], 100))/N109,"NA")</f>
        <v>NA</v>
      </c>
      <c r="O112" s="100" t="str">
        <f>IFERROR(ICC5TME[[#This Row],[2022]]/ICC5TME[[#This Row],[2021]]-1,"NA")</f>
        <v>NA</v>
      </c>
    </row>
    <row r="113" spans="2:15" x14ac:dyDescent="0.35">
      <c r="B113" s="53" t="s">
        <v>15</v>
      </c>
      <c r="C113" s="99" t="str">
        <f t="shared" si="5"/>
        <v>NA</v>
      </c>
      <c r="D113" s="99" t="str">
        <f t="shared" si="6"/>
        <v>NA</v>
      </c>
      <c r="E113" s="100" t="str">
        <f>IFERROR(MCareTotTME[[#This Row],[2022]]/MCareTotTME[[#This Row],[2021]]-1,"NA")</f>
        <v>NA</v>
      </c>
      <c r="G113" s="53" t="s">
        <v>15</v>
      </c>
      <c r="H113" s="99" t="str">
        <f>IFERROR((SUMIFS(ACOAETME2021[[#All],[Claims: Professional, Specialty Care]], ACOAETME2021[[#All],[Insurance Category Code]],1,ACOAETME2021[[#All],[ACO/AE or Insurer Overall Organization ID]], 100))/H109,"NA")</f>
        <v>NA</v>
      </c>
      <c r="I113" s="99" t="str">
        <f>IFERROR((SUMIFS(ACOAETME2022[[#All],[Claims: Professional, Specialty Care]], ACOAETME2022[[#All],[Insurance Category Code]],1,ACOAETME2022[[#All],[ACO/AE or Insurer Overall Organization ID]], 100))/I109,"NA")</f>
        <v>NA</v>
      </c>
      <c r="J113" s="100" t="str">
        <f>IFERROR(ICC1TME[[#This Row],[2022]]/ICC1TME[[#This Row],[2021]]-1,"NA")</f>
        <v>NA</v>
      </c>
      <c r="L113" s="53" t="s">
        <v>15</v>
      </c>
      <c r="M113" s="99" t="str">
        <f>IFERROR((SUMIFS(ACOAETME2021[[#All],[Claims: Professional, Specialty Care]], ACOAETME2021[[#All],[Insurance Category Code]],5,ACOAETME2021[[#All],[ACO/AE or Insurer Overall Organization ID]], 100))/M109,"NA")</f>
        <v>NA</v>
      </c>
      <c r="N113" s="99" t="str">
        <f>IFERROR((SUMIFS(ACOAETME2022[[#All],[Claims: Professional, Specialty Care]], ACOAETME2022[[#All],[Insurance Category Code]],5,ACOAETME2022[[#All],[ACO/AE or Insurer Overall Organization ID]], 100))/N109,"NA")</f>
        <v>NA</v>
      </c>
      <c r="O113" s="100" t="str">
        <f>IFERROR(ICC5TME[[#This Row],[2022]]/ICC5TME[[#This Row],[2021]]-1,"NA")</f>
        <v>NA</v>
      </c>
    </row>
    <row r="114" spans="2:15" x14ac:dyDescent="0.35">
      <c r="B114" s="53" t="s">
        <v>16</v>
      </c>
      <c r="C114" s="99" t="str">
        <f t="shared" si="5"/>
        <v>NA</v>
      </c>
      <c r="D114" s="99" t="str">
        <f t="shared" si="6"/>
        <v>NA</v>
      </c>
      <c r="E114" s="100" t="str">
        <f>IFERROR(MCareTotTME[[#This Row],[2022]]/MCareTotTME[[#This Row],[2021]]-1,"NA")</f>
        <v>NA</v>
      </c>
      <c r="G114" s="53" t="s">
        <v>16</v>
      </c>
      <c r="H114" s="99" t="str">
        <f>IFERROR((SUMIFS(ACOAETME2021[[#All],[Claims: Professional Other]], ACOAETME2021[[#All],[Insurance Category Code]],1,ACOAETME2021[[#All],[ACO/AE or Insurer Overall Organization ID]], 100))/H109,"NA")</f>
        <v>NA</v>
      </c>
      <c r="I114" s="99" t="str">
        <f>IFERROR((SUMIFS(ACOAETME2022[[#All],[Claims: Professional Other]], ACOAETME2022[[#All],[Insurance Category Code]],1,ACOAETME2022[[#All],[ACO/AE or Insurer Overall Organization ID]], 100))/I109,"NA")</f>
        <v>NA</v>
      </c>
      <c r="J114" s="100" t="str">
        <f>IFERROR(ICC1TME[[#This Row],[2022]]/ICC1TME[[#This Row],[2021]]-1,"NA")</f>
        <v>NA</v>
      </c>
      <c r="L114" s="53" t="s">
        <v>16</v>
      </c>
      <c r="M114" s="99" t="str">
        <f>IFERROR((SUMIFS(ACOAETME2021[[#All],[Claims: Professional Other]], ACOAETME2021[[#All],[Insurance Category Code]],5,ACOAETME2021[[#All],[ACO/AE or Insurer Overall Organization ID]], 100))/M109,"NA")</f>
        <v>NA</v>
      </c>
      <c r="N114" s="99" t="str">
        <f>IFERROR((SUMIFS(ACOAETME2022[[#All],[Claims: Professional Other]], ACOAETME2022[[#All],[Insurance Category Code]],5,ACOAETME2022[[#All],[ACO/AE or Insurer Overall Organization ID]], 100))/N109,"NA")</f>
        <v>NA</v>
      </c>
      <c r="O114" s="100" t="str">
        <f>IFERROR(ICC5TME[[#This Row],[2022]]/ICC5TME[[#This Row],[2021]]-1,"NA")</f>
        <v>NA</v>
      </c>
    </row>
    <row r="115" spans="2:15" x14ac:dyDescent="0.35">
      <c r="B115" s="53" t="s">
        <v>256</v>
      </c>
      <c r="C115" s="99" t="str">
        <f t="shared" si="5"/>
        <v>NA</v>
      </c>
      <c r="D115" s="99" t="str">
        <f t="shared" si="6"/>
        <v>NA</v>
      </c>
      <c r="E115" s="100" t="str">
        <f>IFERROR(MCareTotTME[[#This Row],[2022]]/MCareTotTME[[#This Row],[2021]]-1,"NA")</f>
        <v>NA</v>
      </c>
      <c r="G115" s="53" t="s">
        <v>256</v>
      </c>
      <c r="H115" s="99" t="str">
        <f>IFERROR((SUMIFS(ACOAETME2021[[#All],[Claims: Pharmacy]], ACOAETME2021[[#All],[Insurance Category Code]],1,ACOAETME2021[[#All],[ACO/AE or Insurer Overall Organization ID]], 100))/H109,"NA")</f>
        <v>NA</v>
      </c>
      <c r="I115" s="99" t="str">
        <f>IFERROR((SUMIFS(ACOAETME2022[[#All],[Claims: Pharmacy]], ACOAETME2022[[#All],[Insurance Category Code]],1,ACOAETME2022[[#All],[ACO/AE or Insurer Overall Organization ID]], 100))/I109,"NA")</f>
        <v>NA</v>
      </c>
      <c r="J115" s="100" t="str">
        <f>IFERROR(ICC1TME[[#This Row],[2022]]/ICC1TME[[#This Row],[2021]]-1,"NA")</f>
        <v>NA</v>
      </c>
      <c r="L115" s="53" t="s">
        <v>256</v>
      </c>
      <c r="M115" s="99" t="str">
        <f>IFERROR((SUMIFS(ACOAETME2021[[#All],[Claims: Pharmacy]], ACOAETME2021[[#All],[Insurance Category Code]],5,ACOAETME2021[[#All],[ACO/AE or Insurer Overall Organization ID]], 100))/M109,"NA")</f>
        <v>NA</v>
      </c>
      <c r="N115" s="99" t="str">
        <f>IFERROR((SUMIFS(ACOAETME2022[[#All],[Claims: Pharmacy]], ACOAETME2022[[#All],[Insurance Category Code]],5,ACOAETME2022[[#All],[ACO/AE or Insurer Overall Organization ID]], 100))/N109,"NA")</f>
        <v>NA</v>
      </c>
      <c r="O115" s="100" t="str">
        <f>IFERROR(ICC5TME[[#This Row],[2022]]/ICC5TME[[#This Row],[2021]]-1,"NA")</f>
        <v>NA</v>
      </c>
    </row>
    <row r="116" spans="2:15" x14ac:dyDescent="0.35">
      <c r="B116" s="101" t="s">
        <v>257</v>
      </c>
      <c r="C116" s="99" t="str">
        <f t="shared" si="5"/>
        <v>NA</v>
      </c>
      <c r="D116" s="99" t="str">
        <f t="shared" si="6"/>
        <v>NA</v>
      </c>
      <c r="E116" s="100" t="str">
        <f>IFERROR(MCareTotTME[[#This Row],[2022]]/MCareTotTME[[#This Row],[2021]]-1,"NA")</f>
        <v>NA</v>
      </c>
      <c r="G116" s="101" t="s">
        <v>257</v>
      </c>
      <c r="H116" s="99" t="str">
        <f>IFERROR((SUMIFS(ACOAETME2021[[#All],[Claims: Pharmacy]],ACOAETME2021[[#All],[Insurance Category Code]],1, ACOAETME2021[[#All],[ACO/AE or Insurer Overall Organization ID]],100)-ABS(SUMIF(RxRebates21[[#All],[Insurance Category Code]],1,RxRebates21[[#All],[Retail Pharmacy Rebates]])))/H109, "NA")</f>
        <v>NA</v>
      </c>
      <c r="I116" s="99" t="str">
        <f>IFERROR((SUMIFS(ACOAETME2022[[#All],[Claims: Pharmacy]],ACOAETME2022[[#All],[Insurance Category Code]],1, ACOAETME2022[[#All],[ACO/AE or Insurer Overall Organization ID]],100)-ABS(SUMIF(RxRebates22[[#All],[Insurance Category Code]],1,RxRebates22[[#All],[Retail Pharmacy Rebates]])))/I109, "NA")</f>
        <v>NA</v>
      </c>
      <c r="J116" s="100" t="str">
        <f>IFERROR(ICC1TME[[#This Row],[2022]]/ICC1TME[[#This Row],[2021]]-1,"NA")</f>
        <v>NA</v>
      </c>
      <c r="L116" s="101" t="s">
        <v>257</v>
      </c>
      <c r="M116" s="99" t="str">
        <f>IFERROR((SUMIFS(ACOAETME2021[[#All],[Claims: Pharmacy]],ACOAETME2021[[#All],[Insurance Category Code]],5, ACOAETME2021[[#All],[ACO/AE or Insurer Overall Organization ID]],100)-ABS(SUMIF(RxRebates21[[#All],[Insurance Category Code]],5,RxRebates21[[#All],[Retail Pharmacy Rebates]])))/M109, "NA")</f>
        <v>NA</v>
      </c>
      <c r="N116" s="99" t="str">
        <f>IFERROR((SUMIFS(ACOAETME2022[[#All],[Claims: Pharmacy]],ACOAETME2022[[#All],[Insurance Category Code]],5, ACOAETME2022[[#All],[ACO/AE or Insurer Overall Organization ID]],100)-ABS(SUMIF(RxRebates22[[#All],[Insurance Category Code]],5,RxRebates22[[#All],[Retail Pharmacy Rebates]])))/N109, "NA")</f>
        <v>NA</v>
      </c>
      <c r="O116" s="100" t="str">
        <f>IFERROR(ICC5TME[[#This Row],[2022]]/ICC5TME[[#This Row],[2021]]-1,"NA")</f>
        <v>NA</v>
      </c>
    </row>
    <row r="117" spans="2:15" x14ac:dyDescent="0.35">
      <c r="B117" s="101" t="s">
        <v>187</v>
      </c>
      <c r="C117" s="88" t="str">
        <f t="shared" si="5"/>
        <v>NA</v>
      </c>
      <c r="D117" s="88" t="str">
        <f t="shared" si="6"/>
        <v>NA</v>
      </c>
      <c r="E117" s="90" t="str">
        <f>IFERROR(MCareTotTME[[#This Row],[2022]]/MCareTotTME[[#This Row],[2021]]-1,"NA")</f>
        <v>NA</v>
      </c>
      <c r="G117" s="101" t="s">
        <v>187</v>
      </c>
      <c r="H117" s="99" t="str">
        <f>IFERROR((-ABS(SUMIF(RxRebates21[[#All],[Insurance Category Code]],1,RxRebates21[[#All],[Retail Pharmacy Rebates]])))/H109,"NA")</f>
        <v>NA</v>
      </c>
      <c r="I117" s="99" t="str">
        <f>IFERROR((-ABS(SUMIF(RxRebates22[[#All],[Insurance Category Code]],1,RxRebates22[[#All],[Retail Pharmacy Rebates]])))/I109,"NA")</f>
        <v>NA</v>
      </c>
      <c r="J117" s="100" t="str">
        <f>IFERROR(ICC1TME[[#This Row],[2022]]/ICC1TME[[#This Row],[2021]]-1,"NA")</f>
        <v>NA</v>
      </c>
      <c r="L117" s="101" t="s">
        <v>187</v>
      </c>
      <c r="M117" s="99" t="str">
        <f>IFERROR((-ABS(SUMIF(RxRebates21[[#All],[Insurance Category Code]],5,RxRebates21[[#All],[Retail Pharmacy Rebates]])))/M109,"NA")</f>
        <v>NA</v>
      </c>
      <c r="N117" s="99" t="str">
        <f>IFERROR((-ABS(SUMIF(RxRebates22[[#All],[Insurance Category Code]],5,RxRebates22[[#All],[Retail Pharmacy Rebates]])))/N109,"NA")</f>
        <v>NA</v>
      </c>
      <c r="O117" s="100" t="str">
        <f>IFERROR(ICC5TME[[#This Row],[2022]]/ICC5TME[[#This Row],[2021]]-1,"NA")</f>
        <v>NA</v>
      </c>
    </row>
    <row r="118" spans="2:15" x14ac:dyDescent="0.35">
      <c r="B118" s="53" t="s">
        <v>18</v>
      </c>
      <c r="C118" s="99" t="str">
        <f t="shared" si="5"/>
        <v>NA</v>
      </c>
      <c r="D118" s="99" t="str">
        <f t="shared" si="6"/>
        <v>NA</v>
      </c>
      <c r="E118" s="100" t="str">
        <f>IFERROR(MCareTotTME[[#This Row],[2022]]/MCareTotTME[[#This Row],[2021]]-1,"NA")</f>
        <v>NA</v>
      </c>
      <c r="G118" s="53" t="s">
        <v>18</v>
      </c>
      <c r="H118" s="99" t="str">
        <f>IFERROR((SUMIFS(ACOAETME2021[[#All],[Claims: Long-Term Care]], ACOAETME2021[[#All],[Insurance Category Code]],1,ACOAETME2021[[#All],[ACO/AE or Insurer Overall Organization ID]], 100))/H109,"NA")</f>
        <v>NA</v>
      </c>
      <c r="I118" s="99" t="str">
        <f>IFERROR((SUMIFS(ACOAETME2022[[#All],[Claims: Long-Term Care]], ACOAETME2022[[#All],[Insurance Category Code]],1,ACOAETME2022[[#All],[ACO/AE or Insurer Overall Organization ID]], 100))/I109,"NA")</f>
        <v>NA</v>
      </c>
      <c r="J118" s="100" t="str">
        <f>IFERROR(ICC1TME[[#This Row],[2022]]/ICC1TME[[#This Row],[2021]]-1,"NA")</f>
        <v>NA</v>
      </c>
      <c r="L118" s="53" t="s">
        <v>18</v>
      </c>
      <c r="M118" s="99" t="str">
        <f>IFERROR((SUMIFS(ACOAETME2021[[#All],[Claims: Long-Term Care]], ACOAETME2021[[#All],[Insurance Category Code]],5,ACOAETME2021[[#All],[ACO/AE or Insurer Overall Organization ID]], 100))/M109,"NA")</f>
        <v>NA</v>
      </c>
      <c r="N118" s="99" t="str">
        <f>IFERROR((SUMIFS(ACOAETME2022[[#All],[Claims: Long-Term Care]], ACOAETME2022[[#All],[Insurance Category Code]],5,ACOAETME2022[[#All],[ACO/AE or Insurer Overall Organization ID]], 100))/N109,"NA")</f>
        <v>NA</v>
      </c>
      <c r="O118" s="100" t="str">
        <f>IFERROR(ICC5TME[[#This Row],[2022]]/ICC5TME[[#This Row],[2021]]-1,"NA")</f>
        <v>NA</v>
      </c>
    </row>
    <row r="119" spans="2:15" x14ac:dyDescent="0.35">
      <c r="B119" s="53" t="s">
        <v>19</v>
      </c>
      <c r="C119" s="99" t="str">
        <f t="shared" si="5"/>
        <v>NA</v>
      </c>
      <c r="D119" s="99" t="str">
        <f t="shared" si="6"/>
        <v>NA</v>
      </c>
      <c r="E119" s="100" t="str">
        <f>IFERROR(MCareTotTME[[#This Row],[2022]]/MCareTotTME[[#This Row],[2021]]-1,"NA")</f>
        <v>NA</v>
      </c>
      <c r="G119" s="53" t="s">
        <v>19</v>
      </c>
      <c r="H119" s="99" t="str">
        <f>IFERROR((SUMIFS(ACOAETME2021[[#All],[Claims: Other]], ACOAETME2021[[#All],[Insurance Category Code]],1,ACOAETME2021[[#All],[ACO/AE or Insurer Overall Organization ID]], 100))/H109,"NA")</f>
        <v>NA</v>
      </c>
      <c r="I119" s="99" t="str">
        <f>IFERROR((SUMIFS(ACOAETME2022[[#All],[Claims: Other]], ACOAETME2022[[#All],[Insurance Category Code]],1,ACOAETME2022[[#All],[ACO/AE or Insurer Overall Organization ID]], 100))/I109,"NA")</f>
        <v>NA</v>
      </c>
      <c r="J119" s="100" t="str">
        <f>IFERROR(ICC1TME[[#This Row],[2022]]/ICC1TME[[#This Row],[2021]]-1,"NA")</f>
        <v>NA</v>
      </c>
      <c r="L119" s="53" t="s">
        <v>19</v>
      </c>
      <c r="M119" s="99" t="str">
        <f>IFERROR((SUMIFS(ACOAETME2021[[#All],[Claims: Other]], ACOAETME2021[[#All],[Insurance Category Code]],5,ACOAETME2021[[#All],[ACO/AE or Insurer Overall Organization ID]], 100))/M109,"NA")</f>
        <v>NA</v>
      </c>
      <c r="N119" s="99" t="str">
        <f>IFERROR((SUMIFS(ACOAETME2022[[#All],[Claims: Other]], ACOAETME2022[[#All],[Insurance Category Code]],5,ACOAETME2022[[#All],[ACO/AE or Insurer Overall Organization ID]], 100))/N109,"NA")</f>
        <v>NA</v>
      </c>
      <c r="O119" s="100" t="str">
        <f>IFERROR(ICC5TME[[#This Row],[2022]]/ICC5TME[[#This Row],[2021]]-1,"NA")</f>
        <v>NA</v>
      </c>
    </row>
    <row r="120" spans="2:15" x14ac:dyDescent="0.35">
      <c r="B120" s="102" t="s">
        <v>576</v>
      </c>
      <c r="C120" s="103" t="str">
        <f t="shared" si="5"/>
        <v>NA</v>
      </c>
      <c r="D120" s="103" t="str">
        <f t="shared" si="6"/>
        <v>NA</v>
      </c>
      <c r="E120" s="104" t="str">
        <f>IFERROR(MCareTotTME[[#This Row],[2022]]/MCareTotTME[[#This Row],[2021]]-1,"NA")</f>
        <v>NA</v>
      </c>
      <c r="G120" s="102" t="s">
        <v>576</v>
      </c>
      <c r="H120" s="103" t="str">
        <f>IFERROR((SUMIFS(ACOAETME2021[[#All],[TOTAL Non-Truncated Unadjusted Claims Expenses]], ACOAETME2021[[#All],[Insurance Category Code]],1,ACOAETME2021[[#All],[ACO/AE or Insurer Overall Organization ID]], 100))/H109,"NA")</f>
        <v>NA</v>
      </c>
      <c r="I120" s="103" t="str">
        <f>IFERROR((SUMIFS(ACOAETME2022[[#All],[TOTAL Non-Truncated Unadjusted Claims Expenses]], ACOAETME2022[[#All],[Insurance Category Code]],1,ACOAETME2022[[#All],[ACO/AE or Insurer Overall Organization ID]], 100))/I109,"NA")</f>
        <v>NA</v>
      </c>
      <c r="J120" s="104" t="str">
        <f>IFERROR(ICC1TME[[#This Row],[2022]]/ICC1TME[[#This Row],[2021]]-1,"NA")</f>
        <v>NA</v>
      </c>
      <c r="L120" s="102" t="s">
        <v>576</v>
      </c>
      <c r="M120" s="103" t="str">
        <f>IFERROR((SUMIFS(ACOAETME2021[[#All],[TOTAL Non-Truncated Unadjusted Claims Expenses]], ACOAETME2021[[#All],[Insurance Category Code]],5,ACOAETME2021[[#All],[ACO/AE or Insurer Overall Organization ID]], 100))/M109,"NA")</f>
        <v>NA</v>
      </c>
      <c r="N120" s="103" t="str">
        <f>IFERROR((SUMIFS(ACOAETME2022[[#All],[TOTAL Non-Truncated Unadjusted Claims Expenses]], ACOAETME2022[[#All],[Insurance Category Code]],5,ACOAETME2022[[#All],[ACO/AE or Insurer Overall Organization ID]], 100))/N109,"NA")</f>
        <v>NA</v>
      </c>
      <c r="O120" s="104" t="str">
        <f>IFERROR(ICC5TME[[#This Row],[2022]]/ICC5TME[[#This Row],[2021]]-1,"NA")</f>
        <v>NA</v>
      </c>
    </row>
    <row r="121" spans="2:15" x14ac:dyDescent="0.35">
      <c r="B121" s="102" t="s">
        <v>577</v>
      </c>
      <c r="C121" s="103" t="str">
        <f t="shared" si="5"/>
        <v>NA</v>
      </c>
      <c r="D121" s="103" t="str">
        <f t="shared" si="6"/>
        <v>NA</v>
      </c>
      <c r="E121" s="104" t="str">
        <f>IFERROR(MCareTotTME[[#This Row],[2022]]/MCareTotTME[[#This Row],[2021]]-1,"NA")</f>
        <v>NA</v>
      </c>
      <c r="G121" s="102" t="s">
        <v>577</v>
      </c>
      <c r="H121" s="103" t="str">
        <f>IFERROR(SUMIFS(ACOAETME2021[[#All],[TOTAL Truncated Unadjusted Claims Expenses (A19 - A17)]], ACOAETME2021[[#All],[Insurance Category Code]],1,ACOAETME2021[[#All],[ACO/AE or Insurer Overall Organization ID]],100)/H109, "NA")</f>
        <v>NA</v>
      </c>
      <c r="I121" s="103" t="str">
        <f>IFERROR(SUMIFS(ACOAETME2022[[#All],[TOTAL Truncated Unadjusted Claims Expenses (A19 - A17)]], ACOAETME2022[[#All],[Insurance Category Code]],1,ACOAETME2022[[#All],[ACO/AE or Insurer Overall Organization ID]],100)/I109, "NA")</f>
        <v>NA</v>
      </c>
      <c r="J121" s="104" t="str">
        <f>IFERROR(ICC1TME[[#This Row],[2022]]/ICC1TME[[#This Row],[2021]]-1,"NA")</f>
        <v>NA</v>
      </c>
      <c r="L121" s="102" t="s">
        <v>577</v>
      </c>
      <c r="M121" s="103" t="str">
        <f>IFERROR(SUMIFS(ACOAETME2021[[#All],[TOTAL Truncated Unadjusted Claims Expenses (A19 - A17)]], ACOAETME2021[[#All],[Insurance Category Code]],5,ACOAETME2021[[#All],[ACO/AE or Insurer Overall Organization ID]],100)/M109, "NA")</f>
        <v>NA</v>
      </c>
      <c r="N121" s="103" t="str">
        <f>IFERROR(SUMIFS(ACOAETME2022[[#All],[TOTAL Truncated Unadjusted Claims Expenses (A19 - A17)]], ACOAETME2022[[#All],[Insurance Category Code]],5,ACOAETME2022[[#All],[ACO/AE or Insurer Overall Organization ID]],100)/N109, "NA")</f>
        <v>NA</v>
      </c>
      <c r="O121" s="104" t="str">
        <f>IFERROR(ICC5TME[[#This Row],[2022]]/ICC5TME[[#This Row],[2021]]-1,"NA")</f>
        <v>NA</v>
      </c>
    </row>
    <row r="122" spans="2:15" ht="29" x14ac:dyDescent="0.35">
      <c r="B122" s="53" t="s">
        <v>109</v>
      </c>
      <c r="C122" s="99" t="str">
        <f t="shared" si="5"/>
        <v>NA</v>
      </c>
      <c r="D122" s="99" t="str">
        <f t="shared" si="6"/>
        <v>NA</v>
      </c>
      <c r="E122" s="100" t="str">
        <f>IFERROR(MCareTotTME[[#This Row],[2022]]/MCareTotTME[[#This Row],[2021]]-1,"NA")</f>
        <v>NA</v>
      </c>
      <c r="G122" s="53" t="s">
        <v>109</v>
      </c>
      <c r="H122" s="99" t="str">
        <f>IFERROR((SUMIFS(ACOAETME2021[[#All],[Non-Claims: Prospective Capitated, Prospective Global Budget, Prospective Case Rate, or Prospective Episode-Based Payments]], ACOAETME2021[[#All],[Insurance Category Code]],1,ACOAETME2021[[#All],[ACO/AE or Insurer Overall Organization ID]], 100))/H109,"NA")</f>
        <v>NA</v>
      </c>
      <c r="I122" s="99" t="str">
        <f>IFERROR((SUMIFS(ACOAETME2022[[#All],[Non-Claims: Prospective Capitated, Prospective Global Budget, Prospective Case Rate, or Prospective Episode-Based Payments]], ACOAETME2022[[#All],[Insurance Category Code]],1,ACOAETME2022[[#All],[ACO/AE or Insurer Overall Organization ID]], 100))/I109,"NA")</f>
        <v>NA</v>
      </c>
      <c r="J122" s="100" t="str">
        <f>IFERROR(ICC1TME[[#This Row],[2022]]/ICC1TME[[#This Row],[2021]]-1,"NA")</f>
        <v>NA</v>
      </c>
      <c r="L122" s="53" t="s">
        <v>109</v>
      </c>
      <c r="M122" s="99" t="str">
        <f>IFERROR((SUMIFS(ACOAETME2021[[#All],[Non-Claims: Prospective Capitated, Prospective Global Budget, Prospective Case Rate, or Prospective Episode-Based Payments]], ACOAETME2021[[#All],[Insurance Category Code]],5,ACOAETME2021[[#All],[ACO/AE or Insurer Overall Organization ID]], 100))/M109,"NA")</f>
        <v>NA</v>
      </c>
      <c r="N122" s="99" t="str">
        <f>IFERROR((SUMIFS(ACOAETME2022[[#All],[Non-Claims: Prospective Capitated, Prospective Global Budget, Prospective Case Rate, or Prospective Episode-Based Payments]], ACOAETME2022[[#All],[Insurance Category Code]],5,ACOAETME2022[[#All],[ACO/AE or Insurer Overall Organization ID]], 100))/N109,"NA")</f>
        <v>NA</v>
      </c>
      <c r="O122" s="100" t="str">
        <f>IFERROR(ICC5TME[[#This Row],[2022]]/ICC5TME[[#This Row],[2021]]-1,"NA")</f>
        <v>NA</v>
      </c>
    </row>
    <row r="123" spans="2:15" x14ac:dyDescent="0.35">
      <c r="B123" s="53" t="s">
        <v>110</v>
      </c>
      <c r="C123" s="99" t="str">
        <f t="shared" si="5"/>
        <v>NA</v>
      </c>
      <c r="D123" s="99" t="str">
        <f t="shared" si="6"/>
        <v>NA</v>
      </c>
      <c r="E123" s="100" t="str">
        <f>IFERROR(MCareTotTME[[#This Row],[2022]]/MCareTotTME[[#This Row],[2021]]-1,"NA")</f>
        <v>NA</v>
      </c>
      <c r="G123" s="53" t="s">
        <v>110</v>
      </c>
      <c r="H123" s="99" t="str">
        <f>IFERROR((SUMIFS(ACOAETME2021[[#All],[Non-Claims: Performance Incentive Payments]], ACOAETME2021[[#All],[Insurance Category Code]],1,ACOAETME2021[[#All],[ACO/AE or Insurer Overall Organization ID]], 100))/H109,"NA")</f>
        <v>NA</v>
      </c>
      <c r="I123" s="99" t="str">
        <f>IFERROR((SUMIFS(ACOAETME2022[[#All],[Non-Claims: Performance Incentive Payments]], ACOAETME2022[[#All],[Insurance Category Code]],1,ACOAETME2022[[#All],[ACO/AE or Insurer Overall Organization ID]], 100))/I109,"NA")</f>
        <v>NA</v>
      </c>
      <c r="J123" s="100" t="str">
        <f>IFERROR(ICC1TME[[#This Row],[2022]]/ICC1TME[[#This Row],[2021]]-1,"NA")</f>
        <v>NA</v>
      </c>
      <c r="L123" s="53" t="s">
        <v>110</v>
      </c>
      <c r="M123" s="99" t="str">
        <f>IFERROR((SUMIFS(ACOAETME2021[[#All],[Non-Claims: Performance Incentive Payments]], ACOAETME2021[[#All],[Insurance Category Code]],5,ACOAETME2021[[#All],[ACO/AE or Insurer Overall Organization ID]], 100))/M109,"NA")</f>
        <v>NA</v>
      </c>
      <c r="N123" s="99" t="str">
        <f>IFERROR((SUMIFS(ACOAETME2022[[#All],[Non-Claims: Performance Incentive Payments]], ACOAETME2022[[#All],[Insurance Category Code]],5,ACOAETME2022[[#All],[ACO/AE or Insurer Overall Organization ID]], 100))/N109,"NA")</f>
        <v>NA</v>
      </c>
      <c r="O123" s="100" t="str">
        <f>IFERROR(ICC5TME[[#This Row],[2022]]/ICC5TME[[#This Row],[2021]]-1,"NA")</f>
        <v>NA</v>
      </c>
    </row>
    <row r="124" spans="2:15" ht="29" x14ac:dyDescent="0.35">
      <c r="B124" s="53" t="s">
        <v>111</v>
      </c>
      <c r="C124" s="99" t="str">
        <f t="shared" si="5"/>
        <v>NA</v>
      </c>
      <c r="D124" s="99" t="str">
        <f t="shared" si="6"/>
        <v>NA</v>
      </c>
      <c r="E124" s="100" t="str">
        <f>IFERROR(MCareTotTME[[#This Row],[2022]]/MCareTotTME[[#This Row],[2021]]-1,"NA")</f>
        <v>NA</v>
      </c>
      <c r="G124" s="53" t="s">
        <v>111</v>
      </c>
      <c r="H124" s="99" t="str">
        <f>IFERROR((SUMIFS(ACOAETME2021[[#All],[Non-Claims: Payments to Support Population Health and Practice Infrastructure]], ACOAETME2021[[#All],[Insurance Category Code]],1,ACOAETME2021[[#All],[ACO/AE or Insurer Overall Organization ID]], 100))/H109,"NA")</f>
        <v>NA</v>
      </c>
      <c r="I124" s="99" t="str">
        <f>IFERROR((SUMIFS(ACOAETME2022[[#All],[Non-Claims: Payments to Support Population Health and Practice Infrastructure]], ACOAETME2022[[#All],[Insurance Category Code]],1,ACOAETME2022[[#All],[ACO/AE or Insurer Overall Organization ID]], 100))/I109,"NA")</f>
        <v>NA</v>
      </c>
      <c r="J124" s="100" t="str">
        <f>IFERROR(ICC1TME[[#This Row],[2022]]/ICC1TME[[#This Row],[2021]]-1,"NA")</f>
        <v>NA</v>
      </c>
      <c r="L124" s="53" t="s">
        <v>111</v>
      </c>
      <c r="M124" s="99" t="str">
        <f>IFERROR((SUMIFS(ACOAETME2021[[#All],[Non-Claims: Payments to Support Population Health and Practice Infrastructure]], ACOAETME2021[[#All],[Insurance Category Code]],5,ACOAETME2021[[#All],[ACO/AE or Insurer Overall Organization ID]], 100))/M109,"NA")</f>
        <v>NA</v>
      </c>
      <c r="N124" s="99" t="str">
        <f>IFERROR((SUMIFS(ACOAETME2022[[#All],[Non-Claims: Payments to Support Population Health and Practice Infrastructure]], ACOAETME2022[[#All],[Insurance Category Code]],5,ACOAETME2022[[#All],[ACO/AE or Insurer Overall Organization ID]], 100))/N109,"NA")</f>
        <v>NA</v>
      </c>
      <c r="O124" s="100" t="str">
        <f>IFERROR(ICC5TME[[#This Row],[2022]]/ICC5TME[[#This Row],[2021]]-1,"NA")</f>
        <v>NA</v>
      </c>
    </row>
    <row r="125" spans="2:15" x14ac:dyDescent="0.35">
      <c r="B125" s="53" t="s">
        <v>112</v>
      </c>
      <c r="C125" s="99" t="str">
        <f t="shared" si="5"/>
        <v>NA</v>
      </c>
      <c r="D125" s="99" t="str">
        <f t="shared" si="6"/>
        <v>NA</v>
      </c>
      <c r="E125" s="100" t="str">
        <f>IFERROR(MCareTotTME[[#This Row],[2022]]/MCareTotTME[[#This Row],[2021]]-1,"NA")</f>
        <v>NA</v>
      </c>
      <c r="G125" s="53" t="s">
        <v>112</v>
      </c>
      <c r="H125" s="99" t="str">
        <f>IFERROR((SUMIFS(ACOAETME2021[[#All],[Non-Claims: Provider Salaries]], ACOAETME2021[[#All],[Insurance Category Code]],1,ACOAETME2021[[#All],[ACO/AE or Insurer Overall Organization ID]], 100))/H109,"NA")</f>
        <v>NA</v>
      </c>
      <c r="I125" s="99" t="str">
        <f>IFERROR((SUMIFS(ACOAETME2022[[#All],[Non-Claims: Provider Salaries]], ACOAETME2022[[#All],[Insurance Category Code]],1,ACOAETME2022[[#All],[ACO/AE or Insurer Overall Organization ID]], 100))/I109,"NA")</f>
        <v>NA</v>
      </c>
      <c r="J125" s="100" t="str">
        <f>IFERROR(ICC1TME[[#This Row],[2022]]/ICC1TME[[#This Row],[2021]]-1,"NA")</f>
        <v>NA</v>
      </c>
      <c r="L125" s="53" t="s">
        <v>112</v>
      </c>
      <c r="M125" s="99" t="str">
        <f>IFERROR((SUMIFS(ACOAETME2021[[#All],[Non-Claims: Provider Salaries]], ACOAETME2021[[#All],[Insurance Category Code]],5,ACOAETME2021[[#All],[ACO/AE or Insurer Overall Organization ID]], 100))/M109,"NA")</f>
        <v>NA</v>
      </c>
      <c r="N125" s="99" t="str">
        <f>IFERROR((SUMIFS(ACOAETME2022[[#All],[Non-Claims: Provider Salaries]], ACOAETME2022[[#All],[Insurance Category Code]],5,ACOAETME2022[[#All],[ACO/AE or Insurer Overall Organization ID]], 100))/N109,"NA")</f>
        <v>NA</v>
      </c>
      <c r="O125" s="100" t="str">
        <f>IFERROR(ICC5TME[[#This Row],[2022]]/ICC5TME[[#This Row],[2021]]-1,"NA")</f>
        <v>NA</v>
      </c>
    </row>
    <row r="126" spans="2:15" x14ac:dyDescent="0.35">
      <c r="B126" s="53" t="s">
        <v>84</v>
      </c>
      <c r="C126" s="99" t="str">
        <f t="shared" si="5"/>
        <v>NA</v>
      </c>
      <c r="D126" s="99" t="str">
        <f t="shared" si="6"/>
        <v>NA</v>
      </c>
      <c r="E126" s="100" t="str">
        <f>IFERROR(MCareTotTME[[#This Row],[2022]]/MCareTotTME[[#This Row],[2021]]-1,"NA")</f>
        <v>NA</v>
      </c>
      <c r="G126" s="53" t="s">
        <v>84</v>
      </c>
      <c r="H126" s="99" t="str">
        <f>IFERROR((SUMIFS(ACOAETME2021[[#All],[Non-Claims: Recoveries]], ACOAETME2021[[#All],[Insurance Category Code]],1,ACOAETME2021[[#All],[ACO/AE or Insurer Overall Organization ID]], 100))/H109,"NA")</f>
        <v>NA</v>
      </c>
      <c r="I126" s="99" t="str">
        <f>IFERROR((SUMIFS(ACOAETME2022[[#All],[Non-Claims: Recoveries]], ACOAETME2022[[#All],[Insurance Category Code]],1,ACOAETME2022[[#All],[ACO/AE or Insurer Overall Organization ID]], 100))/I109,"NA")</f>
        <v>NA</v>
      </c>
      <c r="J126" s="100" t="str">
        <f>IFERROR(ICC1TME[[#This Row],[2022]]/ICC1TME[[#This Row],[2021]]-1,"NA")</f>
        <v>NA</v>
      </c>
      <c r="L126" s="53" t="s">
        <v>84</v>
      </c>
      <c r="M126" s="99" t="str">
        <f>IFERROR((SUMIFS(ACOAETME2021[[#All],[Non-Claims: Recoveries]], ACOAETME2021[[#All],[Insurance Category Code]],5,ACOAETME2021[[#All],[ACO/AE or Insurer Overall Organization ID]], 100))/M109,"NA")</f>
        <v>NA</v>
      </c>
      <c r="N126" s="99" t="str">
        <f>IFERROR((SUMIFS(ACOAETME2022[[#All],[Non-Claims: Recoveries]], ACOAETME2022[[#All],[Insurance Category Code]],5,ACOAETME2022[[#All],[ACO/AE or Insurer Overall Organization ID]], 100))/N109,"NA")</f>
        <v>NA</v>
      </c>
      <c r="O126" s="100" t="str">
        <f>IFERROR(ICC5TME[[#This Row],[2022]]/ICC5TME[[#This Row],[2021]]-1,"NA")</f>
        <v>NA</v>
      </c>
    </row>
    <row r="127" spans="2:15" x14ac:dyDescent="0.35">
      <c r="B127" s="53" t="s">
        <v>85</v>
      </c>
      <c r="C127" s="99" t="str">
        <f t="shared" si="5"/>
        <v>NA</v>
      </c>
      <c r="D127" s="99" t="str">
        <f t="shared" si="6"/>
        <v>NA</v>
      </c>
      <c r="E127" s="100" t="str">
        <f>IFERROR(MCareTotTME[[#This Row],[2022]]/MCareTotTME[[#This Row],[2021]]-1,"NA")</f>
        <v>NA</v>
      </c>
      <c r="G127" s="53" t="s">
        <v>85</v>
      </c>
      <c r="H127" s="99" t="str">
        <f>IFERROR((SUMIFS(ACOAETME2021[[#All],[Non-Claims: Other]], ACOAETME2021[[#All],[Insurance Category Code]],1,ACOAETME2021[[#All],[ACO/AE or Insurer Overall Organization ID]], 100))/H109,"NA")</f>
        <v>NA</v>
      </c>
      <c r="I127" s="99" t="str">
        <f>IFERROR((SUMIFS(ACOAETME2022[[#All],[Non-Claims: Other]], ACOAETME2022[[#All],[Insurance Category Code]],1,ACOAETME2022[[#All],[ACO/AE or Insurer Overall Organization ID]], 100))/I109,"NA")</f>
        <v>NA</v>
      </c>
      <c r="J127" s="100" t="str">
        <f>IFERROR(ICC1TME[[#This Row],[2022]]/ICC1TME[[#This Row],[2021]]-1,"NA")</f>
        <v>NA</v>
      </c>
      <c r="L127" s="53" t="s">
        <v>85</v>
      </c>
      <c r="M127" s="99" t="str">
        <f>IFERROR((SUMIFS(ACOAETME2021[[#All],[Non-Claims: Other]], ACOAETME2021[[#All],[Insurance Category Code]],5,ACOAETME2021[[#All],[ACO/AE or Insurer Overall Organization ID]], 100))/M109,"NA")</f>
        <v>NA</v>
      </c>
      <c r="N127" s="99" t="str">
        <f>IFERROR((SUMIFS(ACOAETME2022[[#All],[Non-Claims: Other]], ACOAETME2022[[#All],[Insurance Category Code]],5,ACOAETME2022[[#All],[ACO/AE or Insurer Overall Organization ID]], 100))/N109,"NA")</f>
        <v>NA</v>
      </c>
      <c r="O127" s="100" t="str">
        <f>IFERROR(ICC5TME[[#This Row],[2022]]/ICC5TME[[#This Row],[2021]]-1,"NA")</f>
        <v>NA</v>
      </c>
    </row>
    <row r="128" spans="2:15" x14ac:dyDescent="0.35">
      <c r="B128" s="102" t="s">
        <v>129</v>
      </c>
      <c r="C128" s="103" t="str">
        <f t="shared" si="5"/>
        <v>NA</v>
      </c>
      <c r="D128" s="103" t="str">
        <f t="shared" si="6"/>
        <v>NA</v>
      </c>
      <c r="E128" s="104" t="str">
        <f>IFERROR(MCareTotTME[[#This Row],[2022]]/MCareTotTME[[#This Row],[2021]]-1,"NA")</f>
        <v>NA</v>
      </c>
      <c r="G128" s="102" t="s">
        <v>129</v>
      </c>
      <c r="H128" s="103" t="str">
        <f>IFERROR((SUMIFS(ACOAETME2021[[#All],[TOTAL Non-Claims Expenses]], ACOAETME2021[[#All],[Insurance Category Code]],1,ACOAETME2021[[#All],[ACO/AE or Insurer Overall Organization ID]], 100))/H109,"NA")</f>
        <v>NA</v>
      </c>
      <c r="I128" s="103" t="str">
        <f>IFERROR((SUMIFS(ACOAETME2022[[#All],[TOTAL Non-Claims Expenses]], ACOAETME2022[[#All],[Insurance Category Code]],1,ACOAETME2022[[#All],[ACO/AE or Insurer Overall Organization ID]], 100))/I109,"NA")</f>
        <v>NA</v>
      </c>
      <c r="J128" s="104" t="str">
        <f>IFERROR(ICC1TME[[#This Row],[2022]]/ICC1TME[[#This Row],[2021]]-1,"NA")</f>
        <v>NA</v>
      </c>
      <c r="L128" s="102" t="s">
        <v>129</v>
      </c>
      <c r="M128" s="103" t="str">
        <f>IFERROR((SUMIFS(ACOAETME2021[[#All],[TOTAL Non-Claims Expenses]], ACOAETME2021[[#All],[Insurance Category Code]],5,ACOAETME2021[[#All],[ACO/AE or Insurer Overall Organization ID]], 100))/M109,"NA")</f>
        <v>NA</v>
      </c>
      <c r="N128" s="103" t="str">
        <f>IFERROR((SUMIFS(ACOAETME2022[[#All],[TOTAL Non-Claims Expenses]], ACOAETME2022[[#All],[Insurance Category Code]],5,ACOAETME2022[[#All],[ACO/AE or Insurer Overall Organization ID]], 100))/N109,"NA")</f>
        <v>NA</v>
      </c>
      <c r="O128" s="104" t="str">
        <f>IFERROR(ICC5TME[[#This Row],[2022]]/ICC5TME[[#This Row],[2021]]-1,"NA")</f>
        <v>NA</v>
      </c>
    </row>
    <row r="129" spans="2:15" ht="15" customHeight="1" x14ac:dyDescent="0.35">
      <c r="B129" s="106" t="s">
        <v>579</v>
      </c>
      <c r="C129" s="111" t="str">
        <f t="shared" si="5"/>
        <v>NA</v>
      </c>
      <c r="D129" s="111" t="str">
        <f t="shared" si="6"/>
        <v>NA</v>
      </c>
      <c r="E129" s="112" t="str">
        <f>IFERROR(MCareTotTME[[#This Row],[2022]]/MCareTotTME[[#This Row],[2021]]-1,"NA")</f>
        <v>NA</v>
      </c>
      <c r="G129" s="106" t="s">
        <v>579</v>
      </c>
      <c r="H129" s="353" t="str">
        <f>IFERROR((SUMIFS(ACOAETME2021[[#All],[TOTAL Non-Truncated Unadjusted Expenses 
(A19+A21)]], ACOAETME2021[[#All],[Insurance Category Code]],1, ACOAETME2021[[#All],[ACO/AE or Insurer Overall Organization ID]], 100))/H109, "NA")</f>
        <v>NA</v>
      </c>
      <c r="I129" s="353" t="str">
        <f>IFERROR((SUMIFS(ACOAETME2022[[#All],[TOTAL Non-Truncated Unadjusted Expenses 
(A19+A21)]], ACOAETME2022[[#All],[Insurance Category Code]],1, ACOAETME2022[[#All],[ACO/AE or Insurer Overall Organization ID]], 100))/I109, "NA")</f>
        <v>NA</v>
      </c>
      <c r="J129" s="112" t="str">
        <f>IFERROR(ICC1TME[[#This Row],[2022]]/ICC1TME[[#This Row],[2021]]-1,"NA")</f>
        <v>NA</v>
      </c>
      <c r="L129" s="106" t="s">
        <v>579</v>
      </c>
      <c r="M129" s="353" t="str">
        <f>IFERROR((SUMIFS(ACOAETME2021[[#All],[TOTAL Non-Truncated Unadjusted Expenses 
(A19+A21)]], ACOAETME2021[[#All],[Insurance Category Code]],5, ACOAETME2021[[#All],[ACO/AE or Insurer Overall Organization ID]], 100))/M109, "NA")</f>
        <v>NA</v>
      </c>
      <c r="N129" s="353" t="str">
        <f>IFERROR((SUMIFS(ACOAETME2022[[#All],[TOTAL Non-Truncated Unadjusted Expenses 
(A19+A21)]], ACOAETME2022[[#All],[Insurance Category Code]],5, ACOAETME2022[[#All],[ACO/AE or Insurer Overall Organization ID]], 100))/N109, "NA")</f>
        <v>NA</v>
      </c>
      <c r="O129" s="112" t="str">
        <f>IFERROR(ICC5TME[[#This Row],[2022]]/ICC5TME[[#This Row],[2021]]-1,"NA")</f>
        <v>NA</v>
      </c>
    </row>
    <row r="130" spans="2:15" x14ac:dyDescent="0.35">
      <c r="B130" s="106" t="s">
        <v>580</v>
      </c>
      <c r="C130" s="111" t="str">
        <f t="shared" si="5"/>
        <v>NA</v>
      </c>
      <c r="D130" s="111" t="str">
        <f t="shared" si="6"/>
        <v>NA</v>
      </c>
      <c r="E130" s="112" t="str">
        <f>IFERROR(MCareTotTME[[#This Row],[2022]]/MCareTotTME[[#This Row],[2021]]-1,"NA")</f>
        <v>NA</v>
      </c>
      <c r="G130" s="106" t="s">
        <v>580</v>
      </c>
      <c r="H130" s="353" t="str">
        <f>IFERROR(((SUMIFS(ACOAETME2021[TOTAL Non-Truncated Unadjusted Expenses 
(A19+A21)], ACOAETME2021[Insurance Category Code],1, ACOAETME2021[ACO/AE or Insurer Overall Organization ID], 100))-ABS(SUMIF(RxRebates21[Insurance Category Code], 1, RxRebates21[Total Pharmacy Rebates])))/H109, "NA")</f>
        <v>NA</v>
      </c>
      <c r="I130" s="353" t="str">
        <f>IFERROR(((SUMIFS(ACOAETME2022[TOTAL Non-Truncated Unadjusted Expenses 
(A19+A21)], ACOAETME2022[Insurance Category Code],1, ACOAETME2022[ACO/AE or Insurer Overall Organization ID], 100))-ABS(SUMIF(RxRebates22[Insurance Category Code], 1, RxRebates22[Total Pharmacy Rebates])))/I109, "NA")</f>
        <v>NA</v>
      </c>
      <c r="J130" s="112" t="str">
        <f>IFERROR(ICC1TME[[#This Row],[2022]]/ICC1TME[[#This Row],[2021]]-1,"NA")</f>
        <v>NA</v>
      </c>
      <c r="L130" s="106" t="s">
        <v>580</v>
      </c>
      <c r="M130" s="353" t="str">
        <f>IFERROR(((SUMIFS(ACOAETME2021[TOTAL Non-Truncated Unadjusted Expenses 
(A19+A21)], ACOAETME2021[Insurance Category Code],5, ACOAETME2021[ACO/AE or Insurer Overall Organization ID], 100))-ABS(SUMIF(RxRebates21[Insurance Category Code], 5, RxRebates21[Total Pharmacy Rebates])))/M109, "NA")</f>
        <v>NA</v>
      </c>
      <c r="N130" s="353" t="str">
        <f>IFERROR(((SUMIFS(ACOAETME2022[TOTAL Non-Truncated Unadjusted Expenses 
(A19+A21)], ACOAETME2022[Insurance Category Code],5, ACOAETME2022[ACO/AE or Insurer Overall Organization ID], 100))-ABS(SUMIF(RxRebates22[Insurance Category Code], 5, RxRebates22[Total Pharmacy Rebates])))/N109, "NA")</f>
        <v>NA</v>
      </c>
      <c r="O130" s="112" t="str">
        <f>IFERROR(ICC5TME[[#This Row],[2022]]/ICC5TME[[#This Row],[2021]]-1,"NA")</f>
        <v>NA</v>
      </c>
    </row>
    <row r="131" spans="2:15" x14ac:dyDescent="0.35">
      <c r="B131" s="106" t="s">
        <v>581</v>
      </c>
      <c r="C131" s="111" t="str">
        <f t="shared" si="5"/>
        <v>NA</v>
      </c>
      <c r="D131" s="111" t="str">
        <f t="shared" si="6"/>
        <v>NA</v>
      </c>
      <c r="E131" s="112" t="str">
        <f>IFERROR(MCareTotTME[[#This Row],[2022]]/MCareTotTME[[#This Row],[2021]]-1,"NA")</f>
        <v>NA</v>
      </c>
      <c r="G131" s="106" t="s">
        <v>581</v>
      </c>
      <c r="H131" s="107" t="str">
        <f>IFERROR((SUMIFS(ACOAETME2021[[#All],[TOTAL Truncated Unadjusted Expenses (A20+A21)]], ACOAETME2021[[#All],[Insurance Category Code]],1, ACOAETME2021[[#All],[ACO/AE or Insurer Overall Organization ID]], 100))/H109, "NA")</f>
        <v>NA</v>
      </c>
      <c r="I131" s="107" t="str">
        <f>IFERROR((SUMIFS(ACOAETME2022[[#All],[TOTAL Truncated Unadjusted Expenses (A20+A21)]], ACOAETME2022[[#All],[Insurance Category Code]],1, ACOAETME2022[[#All],[ACO/AE or Insurer Overall Organization ID]], 100))/I109, "NA")</f>
        <v>NA</v>
      </c>
      <c r="J131" s="112" t="str">
        <f>IFERROR(ICC1TME[[#This Row],[2022]]/ICC1TME[[#This Row],[2021]]-1,"NA")</f>
        <v>NA</v>
      </c>
      <c r="L131" s="106" t="s">
        <v>581</v>
      </c>
      <c r="M131" s="107" t="str">
        <f>IFERROR((SUMIFS(ACOAETME2021[[#All],[TOTAL Truncated Unadjusted Expenses (A20+A21)]], ACOAETME2021[[#All],[Insurance Category Code]],5, ACOAETME2021[[#All],[ACO/AE or Insurer Overall Organization ID]], 100))/M109, "NA")</f>
        <v>NA</v>
      </c>
      <c r="N131" s="107" t="str">
        <f>IFERROR((SUMIFS(ACOAETME2022[[#All],[TOTAL Truncated Unadjusted Expenses (A20+A21)]], ACOAETME2022[[#All],[Insurance Category Code]],5, ACOAETME2022[[#All],[ACO/AE or Insurer Overall Organization ID]], 100))/N109, "NA")</f>
        <v>NA</v>
      </c>
      <c r="O131" s="112" t="str">
        <f>IFERROR(ICC5TME[[#This Row],[2022]]/ICC5TME[[#This Row],[2021]]-1,"NA")</f>
        <v>NA</v>
      </c>
    </row>
    <row r="132" spans="2:15" x14ac:dyDescent="0.35">
      <c r="B132" s="109" t="s">
        <v>582</v>
      </c>
      <c r="C132" s="113" t="str">
        <f t="shared" si="5"/>
        <v>NA</v>
      </c>
      <c r="D132" s="113" t="str">
        <f t="shared" si="6"/>
        <v>NA</v>
      </c>
      <c r="E132" s="114" t="str">
        <f>IFERROR(MCareTotTME[[#This Row],[2022]]/MCareTotTME[[#This Row],[2021]]-1,"NA")</f>
        <v>NA</v>
      </c>
      <c r="G132" s="109" t="s">
        <v>582</v>
      </c>
      <c r="H132" s="110" t="str">
        <f>IFERROR(((SUMIFS(ACOAETME2021[TOTAL Truncated Unadjusted Expenses (A20+A21)], ACOAETME2021[Insurance Category Code],1, ACOAETME2021[ACO/AE or Insurer Overall Organization ID], 100))-ABS(SUMIF(RxRebates21[Insurance Category Code], 1, RxRebates21[Total Pharmacy Rebates])))/H109, "NA")</f>
        <v>NA</v>
      </c>
      <c r="I132" s="110" t="str">
        <f>IFERROR(((SUMIFS(ACOAETME2022[TOTAL Truncated Unadjusted Expenses (A20+A21)], ACOAETME2022[Insurance Category Code],1, ACOAETME2022[ACO/AE or Insurer Overall Organization ID], 100))-ABS(SUMIF(RxRebates22[Insurance Category Code], 1, RxRebates22[Total Pharmacy Rebates])))/I109, "NA")</f>
        <v>NA</v>
      </c>
      <c r="J132" s="114" t="str">
        <f>IFERROR(ICC1TME[[#This Row],[2022]]/ICC1TME[[#This Row],[2021]]-1,"NA")</f>
        <v>NA</v>
      </c>
      <c r="L132" s="109" t="s">
        <v>582</v>
      </c>
      <c r="M132" s="110" t="str">
        <f>IFERROR(((SUMIFS(ACOAETME2021[TOTAL Truncated Unadjusted Expenses (A20+A21)], ACOAETME2021[Insurance Category Code],5, ACOAETME2021[ACO/AE or Insurer Overall Organization ID], 100))-ABS(SUMIF(RxRebates21[Insurance Category Code], 5, RxRebates21[Total Pharmacy Rebates])))/M109, "NA")</f>
        <v>NA</v>
      </c>
      <c r="N132" s="110" t="str">
        <f>IFERROR(((SUMIFS(ACOAETME2022[TOTAL Truncated Unadjusted Expenses (A20+A21)], ACOAETME2022[Insurance Category Code],5, ACOAETME2022[ACO/AE or Insurer Overall Organization ID], 100))-ABS(SUMIF(RxRebates22[Insurance Category Code], 5, RxRebates22[Total Pharmacy Rebates])))/N109, "NA")</f>
        <v>NA</v>
      </c>
      <c r="O132" s="114" t="str">
        <f>IFERROR(ICC5TME[[#This Row],[2022]]/ICC5TME[[#This Row],[2021]]-1,"NA")</f>
        <v>NA</v>
      </c>
    </row>
    <row r="134" spans="2:15" ht="15.5" x14ac:dyDescent="0.35">
      <c r="B134" s="42" t="s">
        <v>203</v>
      </c>
    </row>
    <row r="135" spans="2:15" x14ac:dyDescent="0.35">
      <c r="B135" s="46" t="s">
        <v>583</v>
      </c>
    </row>
    <row r="136" spans="2:15" x14ac:dyDescent="0.35">
      <c r="B136" s="196" t="s">
        <v>116</v>
      </c>
      <c r="C136" s="197" t="s">
        <v>525</v>
      </c>
      <c r="D136" s="197" t="s">
        <v>669</v>
      </c>
      <c r="E136" s="198" t="s">
        <v>115</v>
      </c>
    </row>
    <row r="137" spans="2:15" x14ac:dyDescent="0.35">
      <c r="B137" s="53" t="s">
        <v>87</v>
      </c>
      <c r="C137" s="194">
        <f>SUMIFS(ACOAETME2021[[#All],[Member Months]], ACOAETME2021[[#All],[Insurance Category Code]],7, ACOAETME2021[[#All],[ACO/AE or Insurer Overall Organization ID]], 100)</f>
        <v>0</v>
      </c>
      <c r="D137" s="194">
        <f>SUMIFS(ACOAETME2022[[#All],[Member Months]], ACOAETME2022[[#All],[Insurance Category Code]],7, ACOAETME2022[[#All],[ACO/AE or Insurer Overall Organization ID]], 100)</f>
        <v>0</v>
      </c>
      <c r="E137" s="90" t="str">
        <f>IFERROR(ICC7TME[[#This Row],[2022]]/ICC7TME[[#This Row],[2021]]-1,"NA")</f>
        <v>NA</v>
      </c>
    </row>
    <row r="138" spans="2:15" x14ac:dyDescent="0.35">
      <c r="B138" s="53" t="s">
        <v>12</v>
      </c>
      <c r="C138" s="99" t="str">
        <f>IFERROR((SUMIFS(ACOAETME2021[[#All],[Claims: Hospital Inpatient]], ACOAETME2021[[#All],[Insurance Category Code]],7,ACOAETME2021[[#All],[ACO/AE or Insurer Overall Organization ID]], 100))/C137,"NA")</f>
        <v>NA</v>
      </c>
      <c r="D138" s="99" t="str">
        <f>IFERROR((SUMIFS(ACOAETME2022[[#All],[Claims: Hospital Inpatient]], ACOAETME2022[[#All],[Insurance Category Code]],7,ACOAETME2022[[#All],[ACO/AE or Insurer Overall Organization ID]], 100))/D137,"NA")</f>
        <v>NA</v>
      </c>
      <c r="E138" s="100" t="str">
        <f>IFERROR(ICC7TME[[#This Row],[2022]]/ICC7TME[[#This Row],[2021]]-1,"NA")</f>
        <v>NA</v>
      </c>
    </row>
    <row r="139" spans="2:15" x14ac:dyDescent="0.35">
      <c r="B139" s="53" t="s">
        <v>13</v>
      </c>
      <c r="C139" s="99" t="str">
        <f>IFERROR((SUMIFS(ACOAETME2021[[#All],[Claims: Hospital Outpatient]], ACOAETME2021[[#All],[Insurance Category Code]],7,ACOAETME2021[[#All],[ACO/AE or Insurer Overall Organization ID]], 100))/C137,"NA")</f>
        <v>NA</v>
      </c>
      <c r="D139" s="99" t="str">
        <f>IFERROR((SUMIFS(ACOAETME2022[[#All],[Claims: Hospital Outpatient]], ACOAETME2022[[#All],[Insurance Category Code]],7,ACOAETME2022[[#All],[ACO/AE or Insurer Overall Organization ID]], 100))/D137,"NA")</f>
        <v>NA</v>
      </c>
      <c r="E139" s="100" t="str">
        <f>IFERROR(ICC7TME[[#This Row],[2022]]/ICC7TME[[#This Row],[2021]]-1,"NA")</f>
        <v>NA</v>
      </c>
    </row>
    <row r="140" spans="2:15" x14ac:dyDescent="0.35">
      <c r="B140" s="53" t="s">
        <v>14</v>
      </c>
      <c r="C140" s="99" t="str">
        <f>IFERROR((SUMIFS(ACOAETME2021[[#All],[Claims: Professional, Primary Care]], ACOAETME2021[[#All],[Insurance Category Code]],7,ACOAETME2021[[#All],[ACO/AE or Insurer Overall Organization ID]], 100))/C137,"NA")</f>
        <v>NA</v>
      </c>
      <c r="D140" s="99" t="str">
        <f>IFERROR((SUMIFS(ACOAETME2022[[#All],[Claims: Professional, Primary Care]], ACOAETME2022[[#All],[Insurance Category Code]],7,ACOAETME2022[[#All],[ACO/AE or Insurer Overall Organization ID]], 100))/D137,"NA")</f>
        <v>NA</v>
      </c>
      <c r="E140" s="100" t="str">
        <f>IFERROR(ICC7TME[[#This Row],[2022]]/ICC7TME[[#This Row],[2021]]-1,"NA")</f>
        <v>NA</v>
      </c>
    </row>
    <row r="141" spans="2:15" x14ac:dyDescent="0.35">
      <c r="B141" s="53" t="s">
        <v>15</v>
      </c>
      <c r="C141" s="99" t="str">
        <f>IFERROR((SUMIFS(ACOAETME2021[[#All],[Claims: Professional, Specialty Care]], ACOAETME2021[[#All],[Insurance Category Code]],7,ACOAETME2021[[#All],[ACO/AE or Insurer Overall Organization ID]], 100))/C137,"NA")</f>
        <v>NA</v>
      </c>
      <c r="D141" s="99" t="str">
        <f>IFERROR((SUMIFS(ACOAETME2022[[#All],[Claims: Professional, Specialty Care]], ACOAETME2022[[#All],[Insurance Category Code]],7,ACOAETME2022[[#All],[ACO/AE or Insurer Overall Organization ID]], 100))/D137,"NA")</f>
        <v>NA</v>
      </c>
      <c r="E141" s="100" t="str">
        <f>IFERROR(ICC7TME[[#This Row],[2022]]/ICC7TME[[#This Row],[2021]]-1,"NA")</f>
        <v>NA</v>
      </c>
    </row>
    <row r="142" spans="2:15" x14ac:dyDescent="0.35">
      <c r="B142" s="53" t="s">
        <v>16</v>
      </c>
      <c r="C142" s="99" t="str">
        <f>IFERROR((SUMIFS(ACOAETME2021[[#All],[Claims: Professional Other]], ACOAETME2021[[#All],[Insurance Category Code]],7,ACOAETME2021[[#All],[ACO/AE or Insurer Overall Organization ID]], 100))/C137,"NA")</f>
        <v>NA</v>
      </c>
      <c r="D142" s="99" t="str">
        <f>IFERROR((SUMIFS(ACOAETME2022[[#All],[Claims: Professional Other]], ACOAETME2022[[#All],[Insurance Category Code]],7,ACOAETME2022[[#All],[ACO/AE or Insurer Overall Organization ID]], 100))/D137,"NA")</f>
        <v>NA</v>
      </c>
      <c r="E142" s="100" t="str">
        <f>IFERROR(ICC7TME[[#This Row],[2022]]/ICC7TME[[#This Row],[2021]]-1,"NA")</f>
        <v>NA</v>
      </c>
    </row>
    <row r="143" spans="2:15" x14ac:dyDescent="0.35">
      <c r="B143" s="53" t="s">
        <v>126</v>
      </c>
      <c r="C143" s="99" t="str">
        <f>IFERROR((SUMIFS(ACOAETME2021[[#All],[Claims: Pharmacy]], ACOAETME2021[[#All],[Insurance Category Code]],7,ACOAETME2021[[#All],[ACO/AE or Insurer Overall Organization ID]], 100))/C137,"NA")</f>
        <v>NA</v>
      </c>
      <c r="D143" s="99" t="str">
        <f>IFERROR((SUMIFS(ACOAETME2022[[#All],[Claims: Pharmacy]], ACOAETME2022[[#All],[Insurance Category Code]],7,ACOAETME2022[[#All],[ACO/AE or Insurer Overall Organization ID]], 100))/D137,"NA")</f>
        <v>NA</v>
      </c>
      <c r="E143" s="100" t="str">
        <f>IFERROR(ICC7TME[[#This Row],[2022]]/ICC7TME[[#This Row],[2021]]-1,"NA")</f>
        <v>NA</v>
      </c>
    </row>
    <row r="144" spans="2:15" x14ac:dyDescent="0.35">
      <c r="B144" s="101" t="s">
        <v>128</v>
      </c>
      <c r="C144" s="99" t="str">
        <f>IFERROR((SUMIFS(ACOAETME2021[[#All],[Claims: Pharmacy]],ACOAETME2021[[#All],[Insurance Category Code]],7, ACOAETME2021[[#All],[ACO/AE or Insurer Overall Organization ID]],100)-ABS(SUMIF(RxRebates21[[#All],[Insurance Category Code]],7,RxRebates21[[#All],[Retail Pharmacy Rebates]])))/C137, "NA")</f>
        <v>NA</v>
      </c>
      <c r="D144" s="99" t="str">
        <f>IFERROR((SUMIFS(ACOAETME2022[[#All],[Claims: Pharmacy]],ACOAETME2022[[#All],[Insurance Category Code]],7, ACOAETME2022[[#All],[ACO/AE or Insurer Overall Organization ID]],100)-ABS(SUMIF(RxRebates22[[#All],[Insurance Category Code]],7,RxRebates22[[#All],[Retail Pharmacy Rebates]])))/D137, "NA")</f>
        <v>NA</v>
      </c>
      <c r="E144" s="100" t="str">
        <f>IFERROR(ICC7TME[[#This Row],[2022]]/ICC7TME[[#This Row],[2021]]-1,"NA")</f>
        <v>NA</v>
      </c>
    </row>
    <row r="145" spans="2:5" x14ac:dyDescent="0.35">
      <c r="B145" s="101" t="s">
        <v>187</v>
      </c>
      <c r="C145" s="99" t="str">
        <f>IFERROR((-ABS(SUMIF(RxRebates21[[#All],[Insurance Category Code]],7,RxRebates21[[#All],[Retail Pharmacy Rebates]])))/C137,"NA")</f>
        <v>NA</v>
      </c>
      <c r="D145" s="99" t="str">
        <f>IFERROR((-ABS(SUMIF(RxRebates22[[#All],[Insurance Category Code]],7,RxRebates22[[#All],[Retail Pharmacy Rebates]])))/D137,"NA")</f>
        <v>NA</v>
      </c>
      <c r="E145" s="90" t="str">
        <f>IFERROR(ICC7TME[[#This Row],[2022]]/ICC7TME[[#This Row],[2021]]-1,"NA")</f>
        <v>NA</v>
      </c>
    </row>
    <row r="146" spans="2:5" x14ac:dyDescent="0.35">
      <c r="B146" s="53" t="s">
        <v>18</v>
      </c>
      <c r="C146" s="99" t="str">
        <f>IFERROR((SUMIFS(ACOAETME2021[[#All],[Claims: Long-Term Care]], ACOAETME2021[[#All],[Insurance Category Code]],7,ACOAETME2021[[#All],[ACO/AE or Insurer Overall Organization ID]], 100))/C137,"NA")</f>
        <v>NA</v>
      </c>
      <c r="D146" s="99" t="str">
        <f>IFERROR((SUMIFS(ACOAETME2022[[#All],[Claims: Long-Term Care]], ACOAETME2022[[#All],[Insurance Category Code]],7,ACOAETME2022[[#All],[ACO/AE or Insurer Overall Organization ID]], 100))/D137,"NA")</f>
        <v>NA</v>
      </c>
      <c r="E146" s="100" t="str">
        <f>IFERROR(ICC7TME[[#This Row],[2022]]/ICC7TME[[#This Row],[2021]]-1,"NA")</f>
        <v>NA</v>
      </c>
    </row>
    <row r="147" spans="2:5" x14ac:dyDescent="0.35">
      <c r="B147" s="53" t="s">
        <v>19</v>
      </c>
      <c r="C147" s="99" t="str">
        <f>IFERROR((SUMIFS(ACOAETME2021[[#All],[Claims: Other]], ACOAETME2021[[#All],[Insurance Category Code]],7,ACOAETME2021[[#All],[ACO/AE or Insurer Overall Organization ID]], 100))/C137,"NA")</f>
        <v>NA</v>
      </c>
      <c r="D147" s="99" t="str">
        <f>IFERROR((SUMIFS(ACOAETME2022[[#All],[Claims: Other]], ACOAETME2022[[#All],[Insurance Category Code]],7,ACOAETME2022[[#All],[ACO/AE or Insurer Overall Organization ID]], 100))/D137,"NA")</f>
        <v>NA</v>
      </c>
      <c r="E147" s="100" t="str">
        <f>IFERROR(ICC7TME[[#This Row],[2022]]/ICC7TME[[#This Row],[2021]]-1,"NA")</f>
        <v>NA</v>
      </c>
    </row>
    <row r="148" spans="2:5" x14ac:dyDescent="0.35">
      <c r="B148" s="102" t="s">
        <v>576</v>
      </c>
      <c r="C148" s="103" t="str">
        <f>IFERROR((SUMIFS(ACOAETME2021[[#All],[TOTAL Non-Truncated Unadjusted Claims Expenses]], ACOAETME2021[[#All],[Insurance Category Code]],7,ACOAETME2021[[#All],[ACO/AE or Insurer Overall Organization ID]], 100))/C137,"NA")</f>
        <v>NA</v>
      </c>
      <c r="D148" s="103" t="str">
        <f>IFERROR((SUMIFS(ACOAETME2022[[#All],[TOTAL Non-Truncated Unadjusted Claims Expenses]], ACOAETME2022[[#All],[Insurance Category Code]],7,ACOAETME2022[[#All],[ACO/AE or Insurer Overall Organization ID]], 100))/D137,"NA")</f>
        <v>NA</v>
      </c>
      <c r="E148" s="104" t="str">
        <f>IFERROR(ICC7TME[[#This Row],[2022]]/ICC7TME[[#This Row],[2021]]-1,"NA")</f>
        <v>NA</v>
      </c>
    </row>
    <row r="149" spans="2:5" x14ac:dyDescent="0.35">
      <c r="B149" s="102" t="s">
        <v>577</v>
      </c>
      <c r="C149" s="103" t="str">
        <f>IFERROR(SUMIFS(ACOAETME2021[[#All],[TOTAL Truncated Unadjusted Claims Expenses (A19 - A17)]], ACOAETME2021[[#All],[Insurance Category Code]],7,ACOAETME2021[[#All],[ACO/AE or Insurer Overall Organization ID]],100)/C137, "NA")</f>
        <v>NA</v>
      </c>
      <c r="D149" s="103" t="str">
        <f>IFERROR(SUMIFS(ACOAETME2022[[#All],[TOTAL Truncated Unadjusted Claims Expenses (A19 - A17)]], ACOAETME2022[[#All],[Insurance Category Code]],7,ACOAETME2022[[#All],[ACO/AE or Insurer Overall Organization ID]],100)/D137, "NA")</f>
        <v>NA</v>
      </c>
      <c r="E149" s="104" t="str">
        <f>IFERROR(ICC7TME[[#This Row],[2022]]/ICC7TME[[#This Row],[2021]]-1,"NA")</f>
        <v>NA</v>
      </c>
    </row>
    <row r="150" spans="2:5" ht="29" x14ac:dyDescent="0.35">
      <c r="B150" s="53" t="s">
        <v>109</v>
      </c>
      <c r="C150" s="99" t="str">
        <f>IFERROR((SUMIFS(ACOAETME2021[[#All],[Non-Claims: Prospective Capitated, Prospective Global Budget, Prospective Case Rate, or Prospective Episode-Based Payments]], ACOAETME2021[[#All],[Insurance Category Code]],7,ACOAETME2021[[#All],[ACO/AE or Insurer Overall Organization ID]], 100))/C137,"NA")</f>
        <v>NA</v>
      </c>
      <c r="D150" s="99" t="str">
        <f>IFERROR((SUMIFS(ACOAETME2022[[#All],[Non-Claims: Prospective Capitated, Prospective Global Budget, Prospective Case Rate, or Prospective Episode-Based Payments]], ACOAETME2022[[#All],[Insurance Category Code]],7,ACOAETME2022[[#All],[ACO/AE or Insurer Overall Organization ID]], 100))/D137,"NA")</f>
        <v>NA</v>
      </c>
      <c r="E150" s="100" t="str">
        <f>IFERROR(ICC7TME[[#This Row],[2022]]/ICC7TME[[#This Row],[2021]]-1,"NA")</f>
        <v>NA</v>
      </c>
    </row>
    <row r="151" spans="2:5" x14ac:dyDescent="0.35">
      <c r="B151" s="53" t="s">
        <v>110</v>
      </c>
      <c r="C151" s="99" t="str">
        <f>IFERROR((SUMIFS(ACOAETME2021[[#All],[Non-Claims: Performance Incentive Payments]], ACOAETME2021[[#All],[Insurance Category Code]],7,ACOAETME2021[[#All],[ACO/AE or Insurer Overall Organization ID]], 100))/C137,"NA")</f>
        <v>NA</v>
      </c>
      <c r="D151" s="99" t="str">
        <f>IFERROR((SUMIFS(ACOAETME2022[[#All],[Non-Claims: Performance Incentive Payments]], ACOAETME2022[[#All],[Insurance Category Code]],7,ACOAETME2022[[#All],[ACO/AE or Insurer Overall Organization ID]], 100))/D137,"NA")</f>
        <v>NA</v>
      </c>
      <c r="E151" s="100" t="str">
        <f>IFERROR(ICC7TME[[#This Row],[2022]]/ICC7TME[[#This Row],[2021]]-1,"NA")</f>
        <v>NA</v>
      </c>
    </row>
    <row r="152" spans="2:5" ht="29" x14ac:dyDescent="0.35">
      <c r="B152" s="53" t="s">
        <v>111</v>
      </c>
      <c r="C152" s="99" t="str">
        <f>IFERROR((SUMIFS(ACOAETME2021[[#All],[Non-Claims: Payments to Support Population Health and Practice Infrastructure]], ACOAETME2021[[#All],[Insurance Category Code]],7,ACOAETME2021[[#All],[ACO/AE or Insurer Overall Organization ID]], 100))/C137,"NA")</f>
        <v>NA</v>
      </c>
      <c r="D152" s="99" t="str">
        <f>IFERROR((SUMIFS(ACOAETME2022[[#All],[Non-Claims: Payments to Support Population Health and Practice Infrastructure]], ACOAETME2022[[#All],[Insurance Category Code]],7,ACOAETME2022[[#All],[ACO/AE or Insurer Overall Organization ID]], 100))/D137,"NA")</f>
        <v>NA</v>
      </c>
      <c r="E152" s="100" t="str">
        <f>IFERROR(ICC7TME[[#This Row],[2022]]/ICC7TME[[#This Row],[2021]]-1,"NA")</f>
        <v>NA</v>
      </c>
    </row>
    <row r="153" spans="2:5" x14ac:dyDescent="0.35">
      <c r="B153" s="53" t="s">
        <v>112</v>
      </c>
      <c r="C153" s="99" t="str">
        <f>IFERROR((SUMIFS(ACOAETME2021[[#All],[Non-Claims: Provider Salaries]], ACOAETME2021[[#All],[Insurance Category Code]],7,ACOAETME2021[[#All],[ACO/AE or Insurer Overall Organization ID]], 100))/C137,"NA")</f>
        <v>NA</v>
      </c>
      <c r="D153" s="99" t="str">
        <f>IFERROR((SUMIFS(ACOAETME2022[[#All],[Non-Claims: Provider Salaries]], ACOAETME2022[[#All],[Insurance Category Code]],7,ACOAETME2022[[#All],[ACO/AE or Insurer Overall Organization ID]], 100))/D137,"NA")</f>
        <v>NA</v>
      </c>
      <c r="E153" s="100" t="str">
        <f>IFERROR(ICC7TME[[#This Row],[2022]]/ICC7TME[[#This Row],[2021]]-1,"NA")</f>
        <v>NA</v>
      </c>
    </row>
    <row r="154" spans="2:5" x14ac:dyDescent="0.35">
      <c r="B154" s="53" t="s">
        <v>84</v>
      </c>
      <c r="C154" s="99" t="str">
        <f>IFERROR((SUMIFS(ACOAETME2021[[#All],[Non-Claims: Recoveries]], ACOAETME2021[[#All],[Insurance Category Code]],7,ACOAETME2021[[#All],[ACO/AE or Insurer Overall Organization ID]], 100))/C137,"NA")</f>
        <v>NA</v>
      </c>
      <c r="D154" s="99" t="str">
        <f>IFERROR((SUMIFS(ACOAETME2022[[#All],[Non-Claims: Recoveries]], ACOAETME2022[[#All],[Insurance Category Code]],7,ACOAETME2022[[#All],[ACO/AE or Insurer Overall Organization ID]], 100))/D137,"NA")</f>
        <v>NA</v>
      </c>
      <c r="E154" s="100" t="str">
        <f>IFERROR(ICC7TME[[#This Row],[2022]]/ICC7TME[[#This Row],[2021]]-1,"NA")</f>
        <v>NA</v>
      </c>
    </row>
    <row r="155" spans="2:5" x14ac:dyDescent="0.35">
      <c r="B155" s="53" t="s">
        <v>85</v>
      </c>
      <c r="C155" s="99" t="str">
        <f>IFERROR((SUMIFS(ACOAETME2021[[#All],[Non-Claims: Other]], ACOAETME2021[[#All],[Insurance Category Code]],7,ACOAETME2021[[#All],[ACO/AE or Insurer Overall Organization ID]], 100))/C137,"NA")</f>
        <v>NA</v>
      </c>
      <c r="D155" s="99" t="str">
        <f>IFERROR((SUMIFS(ACOAETME2022[[#All],[Non-Claims: Other]], ACOAETME2022[[#All],[Insurance Category Code]],7,ACOAETME2022[[#All],[ACO/AE or Insurer Overall Organization ID]], 100))/D137,"NA")</f>
        <v>NA</v>
      </c>
      <c r="E155" s="100" t="str">
        <f>IFERROR(ICC7TME[[#This Row],[2022]]/ICC7TME[[#This Row],[2021]]-1,"NA")</f>
        <v>NA</v>
      </c>
    </row>
    <row r="156" spans="2:5" x14ac:dyDescent="0.35">
      <c r="B156" s="102" t="s">
        <v>129</v>
      </c>
      <c r="C156" s="103" t="str">
        <f>IFERROR((SUMIFS(ACOAETME2021[[#All],[TOTAL Non-Claims Expenses]], ACOAETME2021[[#All],[Insurance Category Code]],7,ACOAETME2021[[#All],[ACO/AE or Insurer Overall Organization ID]], 100))/C137,"NA")</f>
        <v>NA</v>
      </c>
      <c r="D156" s="103" t="str">
        <f>IFERROR((SUMIFS(ACOAETME2022[[#All],[TOTAL Non-Claims Expenses]], ACOAETME2022[[#All],[Insurance Category Code]],7,ACOAETME2022[[#All],[ACO/AE or Insurer Overall Organization ID]], 100))/D137,"NA")</f>
        <v>NA</v>
      </c>
      <c r="E156" s="104" t="str">
        <f>IFERROR(ICC7TME[[#This Row],[2022]]/ICC7TME[[#This Row],[2021]]-1,"NA")</f>
        <v>NA</v>
      </c>
    </row>
    <row r="157" spans="2:5" x14ac:dyDescent="0.35">
      <c r="B157" s="106" t="s">
        <v>579</v>
      </c>
      <c r="C157" s="353" t="str">
        <f>IFERROR((SUMIFS(ACOAETME2021[[#All],[TOTAL Non-Truncated Unadjusted Expenses 
(A19+A21)]], ACOAETME2021[[#All],[Insurance Category Code]],7, ACOAETME2021[[#All],[ACO/AE or Insurer Overall Organization ID]], 100))/C137, "NA")</f>
        <v>NA</v>
      </c>
      <c r="D157" s="353" t="str">
        <f>IFERROR((SUMIFS(ACOAETME2022[[#All],[TOTAL Non-Truncated Unadjusted Expenses 
(A19+A21)]], ACOAETME2022[[#All],[Insurance Category Code]],7, ACOAETME2022[[#All],[ACO/AE or Insurer Overall Organization ID]], 100))/D137, "NA")</f>
        <v>NA</v>
      </c>
      <c r="E157" s="112" t="str">
        <f>IFERROR(ICC7TME[[#This Row],[2022]]/ICC7TME[[#This Row],[2021]]-1,"NA")</f>
        <v>NA</v>
      </c>
    </row>
    <row r="158" spans="2:5" x14ac:dyDescent="0.35">
      <c r="B158" s="106" t="s">
        <v>580</v>
      </c>
      <c r="C158" s="353" t="str">
        <f>IFERROR(((SUMIFS(ACOAETME2021[TOTAL Non-Truncated Unadjusted Expenses 
(A19+A21)], ACOAETME2021[Insurance Category Code],7, ACOAETME2021[ACO/AE or Insurer Overall Organization ID], 100))-ABS(SUMIF(RxRebates21[Insurance Category Code], 3, RxRebates21[Total Pharmacy Rebates])))/C137, "NA")</f>
        <v>NA</v>
      </c>
      <c r="D158" s="353" t="str">
        <f>IFERROR(((SUMIFS(ACOAETME2022[TOTAL Non-Truncated Unadjusted Expenses 
(A19+A21)], ACOAETME2022[Insurance Category Code],7, ACOAETME2022[ACO/AE or Insurer Overall Organization ID], 100))-ABS(SUMIF(RxRebates22[Insurance Category Code], 3, RxRebates22[Total Pharmacy Rebates])))/D137, "NA")</f>
        <v>NA</v>
      </c>
      <c r="E158" s="112" t="str">
        <f>IFERROR(ICC7TME[[#This Row],[2022]]/ICC7TME[[#This Row],[2021]]-1,"NA")</f>
        <v>NA</v>
      </c>
    </row>
    <row r="159" spans="2:5" x14ac:dyDescent="0.35">
      <c r="B159" s="106" t="s">
        <v>581</v>
      </c>
      <c r="C159" s="107" t="str">
        <f>IFERROR((SUMIFS(ACOAETME2021[[#All],[TOTAL Truncated Unadjusted Expenses (A20+A21)]], ACOAETME2021[[#All],[Insurance Category Code]],7, ACOAETME2021[[#All],[ACO/AE or Insurer Overall Organization ID]], 100))/C137, "NA")</f>
        <v>NA</v>
      </c>
      <c r="D159" s="107" t="str">
        <f>IFERROR((SUMIFS(ACOAETME2022[[#All],[TOTAL Truncated Unadjusted Expenses (A20+A21)]], ACOAETME2022[[#All],[Insurance Category Code]],7, ACOAETME2022[[#All],[ACO/AE or Insurer Overall Organization ID]], 100))/D137, "NA")</f>
        <v>NA</v>
      </c>
      <c r="E159" s="112" t="str">
        <f>IFERROR(ICC7TME[[#This Row],[2022]]/ICC7TME[[#This Row],[2021]]-1,"NA")</f>
        <v>NA</v>
      </c>
    </row>
    <row r="160" spans="2:5" x14ac:dyDescent="0.35">
      <c r="B160" s="109" t="s">
        <v>582</v>
      </c>
      <c r="C160" s="110" t="str">
        <f>IFERROR(((SUMIFS(ACOAETME2021[[#All],[TOTAL Truncated Unadjusted Expenses (A20+A21)]], ACOAETME2021[[#All],[Insurance Category Code]],7, ACOAETME2021[[#All],[ACO/AE or Insurer Overall Organization ID]], 100))-ABS(SUMIF(RxRebates21[[#All],[Insurance Category Code]], 7, RxRebates21[[#All],[Total Pharmacy Rebates]])))/C137, "NA")</f>
        <v>NA</v>
      </c>
      <c r="D160" s="110" t="str">
        <f>IFERROR(((SUMIFS(ACOAETME2022[[#All],[TOTAL Truncated Unadjusted Expenses (A20+A21)]], ACOAETME2022[[#All],[Insurance Category Code]],7, ACOAETME2022[[#All],[ACO/AE or Insurer Overall Organization ID]], 100))-ABS(SUMIF(RxRebates22[[#All],[Insurance Category Code]], 7, RxRebates22[[#All],[Total Pharmacy Rebates]])))/D137, "NA")</f>
        <v>NA</v>
      </c>
      <c r="E160" s="114" t="str">
        <f>IFERROR(ICC7TME[[#This Row],[2022]]/ICC7TME[[#This Row],[2021]]-1,"NA")</f>
        <v>NA</v>
      </c>
    </row>
  </sheetData>
  <sheetProtection algorithmName="SHA-512" hashValue="Ixgqd9BmPSnG6Aj32084Ri1UVqtha7LgnGVhLPPze5yz253+vs2LZB67ULZLUeRip+nTVudRE4CzUElqZ4ZmkA==" saltValue="0IFCzGoroftYNkWWnHNNCA==" spinCount="100000" sheet="1" objects="1" scenarios="1"/>
  <mergeCells count="1">
    <mergeCell ref="B3:J3"/>
  </mergeCells>
  <pageMargins left="0.7" right="0.7" top="0.75" bottom="0.75" header="0.3" footer="0.3"/>
  <pageSetup orientation="portrait" horizontalDpi="1200" verticalDpi="1200" r:id="rId1"/>
  <tableParts count="1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EECF4-198C-4C2A-8307-CB14BC410914}">
  <sheetPr codeName="Sheet10">
    <tabColor theme="9"/>
  </sheetPr>
  <dimension ref="A2:AS144"/>
  <sheetViews>
    <sheetView workbookViewId="0"/>
  </sheetViews>
  <sheetFormatPr defaultRowHeight="14.5" x14ac:dyDescent="0.35"/>
  <cols>
    <col min="1" max="1" width="3.81640625" customWidth="1"/>
    <col min="2" max="2" width="9" customWidth="1"/>
    <col min="3" max="3" width="47" customWidth="1"/>
    <col min="4" max="4" width="23.54296875" customWidth="1"/>
    <col min="5" max="12" width="23.54296875" style="15" customWidth="1"/>
    <col min="13" max="31" width="23.54296875" customWidth="1"/>
    <col min="32" max="45" width="23.54296875" style="379" customWidth="1"/>
  </cols>
  <sheetData>
    <row r="2" spans="2:45" ht="18.5" x14ac:dyDescent="0.45">
      <c r="B2" s="136" t="s">
        <v>196</v>
      </c>
    </row>
    <row r="3" spans="2:45" ht="15.65" customHeight="1" x14ac:dyDescent="0.35">
      <c r="B3" s="294" t="s">
        <v>730</v>
      </c>
      <c r="C3" s="243"/>
      <c r="D3" s="243"/>
      <c r="E3" s="243"/>
      <c r="F3" s="243"/>
      <c r="G3" s="243"/>
      <c r="H3" s="243"/>
      <c r="I3" s="243"/>
      <c r="J3" s="243"/>
      <c r="K3" s="243"/>
      <c r="L3" s="243"/>
      <c r="M3" s="243"/>
      <c r="N3" s="243"/>
    </row>
    <row r="4" spans="2:45" ht="14.5" customHeight="1" x14ac:dyDescent="0.35">
      <c r="B4" s="243"/>
      <c r="C4" s="243"/>
      <c r="D4" s="243"/>
      <c r="E4" s="243"/>
      <c r="F4" s="243"/>
      <c r="G4" s="243"/>
      <c r="H4" s="243"/>
      <c r="I4" s="243"/>
      <c r="J4" s="243"/>
      <c r="K4" s="243"/>
      <c r="L4" s="243"/>
      <c r="M4" s="243"/>
    </row>
    <row r="5" spans="2:45" ht="15.5" x14ac:dyDescent="0.35">
      <c r="B5" s="228"/>
      <c r="C5" s="228"/>
      <c r="D5" s="228"/>
      <c r="E5" s="228"/>
      <c r="F5" s="228"/>
      <c r="G5" s="228"/>
      <c r="H5" s="228"/>
      <c r="I5" s="228"/>
      <c r="J5" s="228"/>
      <c r="K5" s="228"/>
      <c r="L5" s="228"/>
      <c r="M5" s="228"/>
    </row>
    <row r="6" spans="2:45" ht="15.5" x14ac:dyDescent="0.35">
      <c r="B6" s="42" t="s">
        <v>148</v>
      </c>
      <c r="C6" s="42"/>
    </row>
    <row r="7" spans="2:45" ht="43.5" x14ac:dyDescent="0.35">
      <c r="B7" s="252" t="s">
        <v>159</v>
      </c>
      <c r="C7" s="253" t="s">
        <v>542</v>
      </c>
      <c r="D7" s="252" t="s">
        <v>571</v>
      </c>
      <c r="E7" s="252" t="s">
        <v>545</v>
      </c>
      <c r="F7" s="312" t="s">
        <v>546</v>
      </c>
      <c r="G7" s="312" t="s">
        <v>547</v>
      </c>
      <c r="H7" s="312" t="s">
        <v>548</v>
      </c>
      <c r="I7" s="312" t="s">
        <v>549</v>
      </c>
      <c r="J7" s="312" t="s">
        <v>665</v>
      </c>
      <c r="K7" s="312" t="s">
        <v>550</v>
      </c>
      <c r="L7" s="312" t="s">
        <v>551</v>
      </c>
      <c r="M7" s="313" t="s">
        <v>552</v>
      </c>
      <c r="N7" s="313" t="s">
        <v>553</v>
      </c>
      <c r="O7" s="313" t="s">
        <v>554</v>
      </c>
      <c r="P7" s="313" t="s">
        <v>555</v>
      </c>
      <c r="Q7" s="314" t="s">
        <v>556</v>
      </c>
      <c r="R7" s="254" t="s">
        <v>648</v>
      </c>
      <c r="S7" s="252" t="s">
        <v>649</v>
      </c>
      <c r="T7" s="312" t="s">
        <v>650</v>
      </c>
      <c r="U7" s="312" t="s">
        <v>651</v>
      </c>
      <c r="V7" s="312" t="s">
        <v>652</v>
      </c>
      <c r="W7" s="312" t="s">
        <v>653</v>
      </c>
      <c r="X7" s="312" t="s">
        <v>654</v>
      </c>
      <c r="Y7" s="312" t="s">
        <v>655</v>
      </c>
      <c r="Z7" s="312" t="s">
        <v>656</v>
      </c>
      <c r="AA7" s="313" t="s">
        <v>657</v>
      </c>
      <c r="AB7" s="313" t="s">
        <v>658</v>
      </c>
      <c r="AC7" s="313" t="s">
        <v>659</v>
      </c>
      <c r="AD7" s="313" t="s">
        <v>660</v>
      </c>
      <c r="AE7" s="314" t="s">
        <v>661</v>
      </c>
      <c r="AF7" s="381" t="s">
        <v>557</v>
      </c>
      <c r="AG7" s="382" t="s">
        <v>558</v>
      </c>
      <c r="AH7" s="383" t="s">
        <v>559</v>
      </c>
      <c r="AI7" s="383" t="s">
        <v>560</v>
      </c>
      <c r="AJ7" s="383" t="s">
        <v>561</v>
      </c>
      <c r="AK7" s="383" t="s">
        <v>562</v>
      </c>
      <c r="AL7" s="383" t="s">
        <v>563</v>
      </c>
      <c r="AM7" s="383" t="s">
        <v>564</v>
      </c>
      <c r="AN7" s="383" t="s">
        <v>565</v>
      </c>
      <c r="AO7" s="384" t="s">
        <v>566</v>
      </c>
      <c r="AP7" s="384" t="s">
        <v>567</v>
      </c>
      <c r="AQ7" s="384" t="s">
        <v>568</v>
      </c>
      <c r="AR7" s="384" t="s">
        <v>569</v>
      </c>
      <c r="AS7" s="384" t="s">
        <v>570</v>
      </c>
    </row>
    <row r="8" spans="2:45" x14ac:dyDescent="0.35">
      <c r="B8" s="250">
        <v>101</v>
      </c>
      <c r="C8" s="131" t="s">
        <v>167</v>
      </c>
      <c r="D8" s="192">
        <f t="shared" ref="D8:D16" si="0">D22+D36</f>
        <v>0</v>
      </c>
      <c r="E8" s="268" t="str">
        <f>IF(ValbyACO_COM[[#This Row],[2021 Member Months (sum of ICC3 + 4)]]=0,"NA",(SUMPRODUCT(E22,D22)+SUMPRODUCT(E36,D36))/ValbyACO_COM[[#This Row],[2021 Member Months (sum of ICC3 + 4)]])</f>
        <v>NA</v>
      </c>
      <c r="F8" s="268" t="str">
        <f>IF(ValbyACO_COM[[#This Row],[2021 Member Months (sum of ICC3 + 4)]]=0,"NA",(SUMPRODUCT(F22,D22)+SUMPRODUCT(F36,D36))/ValbyACO_COM[[#This Row],[2021 Member Months (sum of ICC3 + 4)]])</f>
        <v>NA</v>
      </c>
      <c r="G8" s="268" t="str">
        <f>IF(ValbyACO_COM[[#This Row],[2021 Member Months (sum of ICC3 + 4)]]=0,"NA",(SUMPRODUCT(G22,D22)+SUMPRODUCT(G36,D36))/ValbyACO_COM[[#This Row],[2021 Member Months (sum of ICC3 + 4)]])</f>
        <v>NA</v>
      </c>
      <c r="H8" s="268" t="str">
        <f>IF(ValbyACO_COM[[#This Row],[2021 Member Months (sum of ICC3 + 4)]]=0,"NA",(SUMPRODUCT(H22,D22)+SUMPRODUCT(H36,D36))/ValbyACO_COM[[#This Row],[2021 Member Months (sum of ICC3 + 4)]])</f>
        <v>NA</v>
      </c>
      <c r="I8" s="268" t="str">
        <f>IF(ValbyACO_COM[[#This Row],[2021 Member Months (sum of ICC3 + 4)]]=0,"NA",(SUMPRODUCT(I22,D22)+SUMPRODUCT(I36,D36))/ValbyACO_COM[[#This Row],[2021 Member Months (sum of ICC3 + 4)]])</f>
        <v>NA</v>
      </c>
      <c r="J8" s="268" t="str">
        <f>IF(ValbyACO_COM[[#This Row],[2021 Member Months (sum of ICC3 + 4)]]=0,"NA",(SUMPRODUCT(J22,D22)+SUMPRODUCT(J36,D36))/ValbyACO_COM[[#This Row],[2021 Member Months (sum of ICC3 + 4)]])</f>
        <v>NA</v>
      </c>
      <c r="K8" s="268" t="str">
        <f>IF(ValbyACO_COM[[#This Row],[2021 Member Months (sum of ICC3 + 4)]]=0,"NA",(SUMPRODUCT(K22,D22)+SUMPRODUCT(K36,D36))/ValbyACO_COM[[#This Row],[2021 Member Months (sum of ICC3 + 4)]])</f>
        <v>NA</v>
      </c>
      <c r="L8" s="268" t="str">
        <f>IF(ValbyACO_COM[[#This Row],[2021 Member Months (sum of ICC3 + 4)]]=0,"NA",(SUMPRODUCT(L22,D22)+SUMPRODUCT(L36,D36))/ValbyACO_COM[[#This Row],[2021 Member Months (sum of ICC3 + 4)]])</f>
        <v>NA</v>
      </c>
      <c r="M8" s="118" t="str">
        <f>IF(ValbyACO_COM[[#This Row],[2021 Member Months (sum of ICC3 + 4)]]=0,"NA",(SUMPRODUCT(M22,D22)+SUMPRODUCT(M36,D36))/ValbyACO_COM[[#This Row],[2021 Member Months (sum of ICC3 + 4)]])</f>
        <v>NA</v>
      </c>
      <c r="N8" s="118" t="str">
        <f>IF(ValbyACO_COM[[#This Row],[2021 Member Months (sum of ICC3 + 4)]]=0,"NA",(SUMPRODUCT(N22,D22)+SUMPRODUCT(N36,D36))/ValbyACO_COM[[#This Row],[2021 Member Months (sum of ICC3 + 4)]])</f>
        <v>NA</v>
      </c>
      <c r="O8" s="118" t="str">
        <f>IF(ValbyACO_COM[[#This Row],[2021 Member Months (sum of ICC3 + 4)]]=0,"NA",(SUMPRODUCT(O22,D22)+SUMPRODUCT(O36,D36))/ValbyACO_COM[[#This Row],[2021 Member Months (sum of ICC3 + 4)]])</f>
        <v>NA</v>
      </c>
      <c r="P8" s="118" t="str">
        <f>IF(ValbyACO_COM[[#This Row],[2021 Member Months (sum of ICC3 + 4)]]=0,"NA",(SUMPRODUCT(P22,D22)+SUMPRODUCT(P36,D36))/ValbyACO_COM[[#This Row],[2021 Member Months (sum of ICC3 + 4)]])</f>
        <v>NA</v>
      </c>
      <c r="Q8" s="119" t="str">
        <f>IF(ValbyACO_COM[[#This Row],[2021 Member Months (sum of ICC3 + 4)]]=0,"NA",(SUMPRODUCT(Q22,D22)+SUMPRODUCT(Q36,D36))/ValbyACO_COM[[#This Row],[2021 Member Months (sum of ICC3 + 4)]])</f>
        <v>NA</v>
      </c>
      <c r="R8" s="192">
        <f t="shared" ref="R8:R16" si="1">R22+R36</f>
        <v>0</v>
      </c>
      <c r="S8" s="118" t="str">
        <f>IF(ValbyACO_COM[[#This Row],[2022 Member Months (sum of ICC3 + 4)]]=0,"NA",(SUMPRODUCT(S22,R22)+SUMPRODUCT(S36,R36))/ValbyACO_COM[[#This Row],[2022 Member Months (sum of ICC3 + 4)]])</f>
        <v>NA</v>
      </c>
      <c r="T8" s="118" t="str">
        <f>IF(ValbyACO_COM[[#This Row],[2022 Member Months (sum of ICC3 + 4)]]=0,"NA",(SUMPRODUCT(T22,R22)+SUMPRODUCT(T36,R36))/ValbyACO_COM[[#This Row],[2022 Member Months (sum of ICC3 + 4)]])</f>
        <v>NA</v>
      </c>
      <c r="U8" s="118" t="str">
        <f>IF(ValbyACO_COM[[#This Row],[2022 Member Months (sum of ICC3 + 4)]]=0,"NA",(SUMPRODUCT(U22,R22)+SUMPRODUCT(U36,R36))/ValbyACO_COM[[#This Row],[2022 Member Months (sum of ICC3 + 4)]])</f>
        <v>NA</v>
      </c>
      <c r="V8" s="118" t="str">
        <f>IF(ValbyACO_COM[[#This Row],[2022 Member Months (sum of ICC3 + 4)]]=0,"NA",(SUMPRODUCT(V22,R22)+SUMPRODUCT(V36,R36))/ValbyACO_COM[[#This Row],[2022 Member Months (sum of ICC3 + 4)]])</f>
        <v>NA</v>
      </c>
      <c r="W8" s="118" t="str">
        <f>IF(ValbyACO_COM[[#This Row],[2022 Member Months (sum of ICC3 + 4)]]=0,"NA",(SUMPRODUCT(W22,R22)+SUMPRODUCT(W36,R36))/ValbyACO_COM[[#This Row],[2022 Member Months (sum of ICC3 + 4)]])</f>
        <v>NA</v>
      </c>
      <c r="X8" s="118" t="str">
        <f>IF(ValbyACO_COM[[#This Row],[2022 Member Months (sum of ICC3 + 4)]]=0,"NA",(SUMPRODUCT(X22,R22)+SUMPRODUCT(X36,R36))/ValbyACO_COM[[#This Row],[2022 Member Months (sum of ICC3 + 4)]])</f>
        <v>NA</v>
      </c>
      <c r="Y8" s="118" t="str">
        <f>IF(ValbyACO_COM[[#This Row],[2022 Member Months (sum of ICC3 + 4)]]=0,"NA",(SUMPRODUCT(Y22,R22)+SUMPRODUCT(Y36,R36))/ValbyACO_COM[[#This Row],[2022 Member Months (sum of ICC3 + 4)]])</f>
        <v>NA</v>
      </c>
      <c r="Z8" s="118" t="str">
        <f>IF(ValbyACO_COM[[#This Row],[2022 Member Months (sum of ICC3 + 4)]]=0,"NA",(SUMPRODUCT(Z22,R22)+SUMPRODUCT(Z36,R36))/ValbyACO_COM[[#This Row],[2022 Member Months (sum of ICC3 + 4)]])</f>
        <v>NA</v>
      </c>
      <c r="AA8" s="118" t="str">
        <f>IF(ValbyACO_COM[[#This Row],[2022 Member Months (sum of ICC3 + 4)]]=0,"NA",(SUMPRODUCT(AA22,R22)+SUMPRODUCT(AA36,R36))/ValbyACO_COM[[#This Row],[2022 Member Months (sum of ICC3 + 4)]])</f>
        <v>NA</v>
      </c>
      <c r="AB8" s="118" t="str">
        <f>IF(ValbyACO_COM[[#This Row],[2022 Member Months (sum of ICC3 + 4)]]=0,"NA",(SUMPRODUCT(AB22,R22)+SUMPRODUCT(AB36,R36))/ValbyACO_COM[[#This Row],[2022 Member Months (sum of ICC3 + 4)]])</f>
        <v>NA</v>
      </c>
      <c r="AC8" s="118" t="str">
        <f>IF(ValbyACO_COM[[#This Row],[2022 Member Months (sum of ICC3 + 4)]]=0,"NA",(SUMPRODUCT(AC22,R22)+SUMPRODUCT(AC36,R36))/ValbyACO_COM[[#This Row],[2022 Member Months (sum of ICC3 + 4)]])</f>
        <v>NA</v>
      </c>
      <c r="AD8" s="118" t="str">
        <f>IF(ValbyACO_COM[[#This Row],[2022 Member Months (sum of ICC3 + 4)]]=0,"NA",(SUMPRODUCT(AD22,R22)+SUMPRODUCT(AD36,R36))/ValbyACO_COM[[#This Row],[2022 Member Months (sum of ICC3 + 4)]])</f>
        <v>NA</v>
      </c>
      <c r="AE8" s="119" t="str">
        <f>IF(ValbyACO_COM[[#This Row],[2022 Member Months (sum of ICC3 + 4)]]=0,"NA",(SUMPRODUCT(AE22,R22)+SUMPRODUCT(AE36,R36))/ValbyACO_COM[[#This Row],[2022 Member Months (sum of ICC3 + 4)]])</f>
        <v>NA</v>
      </c>
      <c r="AF8" s="160" t="str">
        <f>IFERROR(IF(ValbyACO_COM[[#This Row],[2021 Member Months (sum of ICC3 + 4)]]=0,"NA",ValbyACO_COM[[#This Row],[2022 Member Months (sum of ICC3 + 4)]]/ValbyACO_COM[[#This Row],[2021 Member Months (sum of ICC3 + 4)]]-1),"NA")</f>
        <v>NA</v>
      </c>
      <c r="AG8" s="161" t="str">
        <f>IFERROR(IF(ValbyACO_COM[[#This Row],[2021 Member Months (sum of ICC3 + 4)]]=0,"NA",ValbyACO_COM[[#This Row],[2022 Claims: Hospital Inpatient]]/ValbyACO_COM[[#This Row],[2021 Claims: Hospital Inpatient]]-1),"NA")</f>
        <v>NA</v>
      </c>
      <c r="AH8" s="162" t="str">
        <f>IFERROR(IF(ValbyACO_COM[[#This Row],[2021 Member Months (sum of ICC3 + 4)]]=0,"NA",ValbyACO_COM[[#This Row],[2022 Claims: Hospital Outpatient]]/ValbyACO_COM[[#This Row],[2021 Claims: Hospital Outpatient]]-1),"NA")</f>
        <v>NA</v>
      </c>
      <c r="AI8" s="162" t="str">
        <f>IFERROR(IF(ValbyACO_COM[[#This Row],[2021 Member Months (sum of ICC3 + 4)]]=0,"NA",ValbyACO_COM[[#This Row],[2022 Claims: Professional, Primary Care]]/ValbyACO_COM[[#This Row],[2021 Claims: Professional, Primary Care]]-1),"NA")</f>
        <v>NA</v>
      </c>
      <c r="AJ8" s="162" t="str">
        <f>IFERROR(IF(ValbyACO_COM[[#This Row],[2021 Member Months (sum of ICC3 + 4)]]=0,"NA",ValbyACO_COM[[#This Row],[2022 Claims: Professional, Specialty Care]]/ValbyACO_COM[[#This Row],[2021 Claims: Professional, Specialty Care]]-1),"NA")</f>
        <v>NA</v>
      </c>
      <c r="AK8" s="162" t="str">
        <f>IFERROR(IF(ValbyACO_COM[[#This Row],[2021 Member Months (sum of ICC3 + 4)]]=0,"NA", ValbyACO_COM[[#This Row],[2022 Claims: Professional Other]]/ValbyACO_COM[[#This Row],[2021 Claims: Professional Other]]-1),"NA")</f>
        <v>NA</v>
      </c>
      <c r="AL8" s="162" t="str">
        <f>IFERROR(IF(ValbyACO_COM[[#This Row],[2021 Member Months (sum of ICC3 + 4)]]=0,"NA",ValbyACO_COM[[#This Row],[2022 Claims: Pharmacy (Gross of Retail Pharmacy Rebates)]]/ValbyACO_COM[[#This Row],[2021 Claims: Pharmacy (Gross of  Rebates)]]-1),"NA")</f>
        <v>NA</v>
      </c>
      <c r="AM8" s="162" t="str">
        <f>IFERROR(IF(ValbyACO_COM[[#This Row],[2021 Member Months (sum of ICC3 + 4)]]=0,"NA",ValbyACO_COM[[#This Row],[2022 Claims: Long-term Care]]/ValbyACO_COM[[#This Row],[2021 Claims: Long-term Care]]-1),"NA")</f>
        <v>NA</v>
      </c>
      <c r="AN8" s="162" t="str">
        <f>IFERROR(IF(ValbyACO_COM[[#This Row],[2021 Member Months (sum of ICC3 + 4)]]=0,"NA",ValbyACO_COM[[#This Row],[2022 Claims: Other]]/ValbyACO_COM[[#This Row],[2021 Claims: Other]]-1),"NA")</f>
        <v>NA</v>
      </c>
      <c r="AO8" s="163" t="str">
        <f>IFERROR(IF(ValbyACO_COM[[#This Row],[2021 Member Months (sum of ICC3 + 4)]]=0,"NA",ValbyACO_COM[[#This Row],[2022 TOTAL Non-Truncated Claims Expenses]]/ValbyACO_COM[[#This Row],[2021 TOTAL Non-Truncated Claims Expenses]]-1),"NA")</f>
        <v>NA</v>
      </c>
      <c r="AP8" s="163" t="str">
        <f>IFERROR(IF(ValbyACO_COM[[#This Row],[2021 Member Months (sum of ICC3 + 4)]]=0,"NA",ValbyACO_COM[[#This Row],[2022 TOTAL Truncated Claims Expenses]]/ValbyACO_COM[[#This Row],[2021 TOTAL Truncated Claims Expenses]]-1),"NA")</f>
        <v>NA</v>
      </c>
      <c r="AQ8" s="163" t="str">
        <f>IFERROR(IF(ValbyACO_COM[[#This Row],[2021 Member Months (sum of ICC3 + 4)]]=0,"NA",ValbyACO_COM[[#This Row],[2022 TOTAL Non-Claims Expenses]]/ValbyACO_COM[[#This Row],[2021 TOTAL Non-Claims Expenses]]-1),"NA")</f>
        <v>NA</v>
      </c>
      <c r="AR8" s="163" t="str">
        <f>IFERROR(IF(ValbyACO_COM[[#This Row],[2021 Member Months (sum of ICC3 + 4)]]=0,"NA",ValbyACO_COM[[#This Row],[2022 TOTAL Non-Truncated Total Expenses]]/ValbyACO_COM[[#This Row],[2021 TOTAL Non-Truncated Total Expenses]]-1),"NA")</f>
        <v>NA</v>
      </c>
      <c r="AS8" s="163" t="str">
        <f>IFERROR(IF(ValbyACO_COM[[#This Row],[2021 Member Months (sum of ICC3 + 4)]]=0,"NA",ValbyACO_COM[[#This Row],[2022 TOTAL Truncated Total Expenses]]/ValbyACO_COM[[#This Row],[2021 TOTAL Truncated Total Expenses]]-1),"NA")</f>
        <v>NA</v>
      </c>
    </row>
    <row r="9" spans="2:45" x14ac:dyDescent="0.35">
      <c r="B9" s="250">
        <v>102</v>
      </c>
      <c r="C9" s="131" t="s">
        <v>190</v>
      </c>
      <c r="D9" s="192">
        <f t="shared" si="0"/>
        <v>0</v>
      </c>
      <c r="E9" s="268" t="str">
        <f>IF(ValbyACO_COM[[#This Row],[2021 Member Months (sum of ICC3 + 4)]]=0,"NA",(SUMPRODUCT(E23,D23)+SUMPRODUCT(E37,D37))/ValbyACO_COM[[#This Row],[2021 Member Months (sum of ICC3 + 4)]])</f>
        <v>NA</v>
      </c>
      <c r="F9" s="268" t="str">
        <f>IF(ValbyACO_COM[[#This Row],[2021 Member Months (sum of ICC3 + 4)]]=0,"NA",(SUMPRODUCT(F23,D23)+SUMPRODUCT(F37,D37))/ValbyACO_COM[[#This Row],[2021 Member Months (sum of ICC3 + 4)]])</f>
        <v>NA</v>
      </c>
      <c r="G9" s="268" t="str">
        <f>IF(ValbyACO_COM[[#This Row],[2021 Member Months (sum of ICC3 + 4)]]=0,"NA",(SUMPRODUCT(G23,D23)+SUMPRODUCT(G37,D37))/ValbyACO_COM[[#This Row],[2021 Member Months (sum of ICC3 + 4)]])</f>
        <v>NA</v>
      </c>
      <c r="H9" s="268" t="str">
        <f>IF(ValbyACO_COM[[#This Row],[2021 Member Months (sum of ICC3 + 4)]]=0,"NA",(SUMPRODUCT(H23,D23)+SUMPRODUCT(H37,D37))/ValbyACO_COM[[#This Row],[2021 Member Months (sum of ICC3 + 4)]])</f>
        <v>NA</v>
      </c>
      <c r="I9" s="268" t="str">
        <f>IF(ValbyACO_COM[[#This Row],[2021 Member Months (sum of ICC3 + 4)]]=0,"NA",(SUMPRODUCT(I23,D23)+SUMPRODUCT(I37,D37))/ValbyACO_COM[[#This Row],[2021 Member Months (sum of ICC3 + 4)]])</f>
        <v>NA</v>
      </c>
      <c r="J9" s="268" t="str">
        <f>IF(ValbyACO_COM[[#This Row],[2021 Member Months (sum of ICC3 + 4)]]=0,"NA",(SUMPRODUCT(J23,D23)+SUMPRODUCT(J37,D37))/ValbyACO_COM[[#This Row],[2021 Member Months (sum of ICC3 + 4)]])</f>
        <v>NA</v>
      </c>
      <c r="K9" s="268" t="str">
        <f>IF(ValbyACO_COM[[#This Row],[2021 Member Months (sum of ICC3 + 4)]]=0,"NA",(SUMPRODUCT(K23,D23)+SUMPRODUCT(K37,D37))/ValbyACO_COM[[#This Row],[2021 Member Months (sum of ICC3 + 4)]])</f>
        <v>NA</v>
      </c>
      <c r="L9" s="268" t="str">
        <f>IF(ValbyACO_COM[[#This Row],[2021 Member Months (sum of ICC3 + 4)]]=0,"NA",(SUMPRODUCT(L23,D23)+SUMPRODUCT(L37,D37))/ValbyACO_COM[[#This Row],[2021 Member Months (sum of ICC3 + 4)]])</f>
        <v>NA</v>
      </c>
      <c r="M9" s="118" t="str">
        <f>IF(ValbyACO_COM[[#This Row],[2021 Member Months (sum of ICC3 + 4)]]=0,"NA",(SUMPRODUCT(M23,D23)+SUMPRODUCT(M37,D37))/ValbyACO_COM[[#This Row],[2021 Member Months (sum of ICC3 + 4)]])</f>
        <v>NA</v>
      </c>
      <c r="N9" s="118" t="str">
        <f>IF(ValbyACO_COM[[#This Row],[2021 Member Months (sum of ICC3 + 4)]]=0,"NA",(SUMPRODUCT(N23,D23)+SUMPRODUCT(N37,D37))/ValbyACO_COM[[#This Row],[2021 Member Months (sum of ICC3 + 4)]])</f>
        <v>NA</v>
      </c>
      <c r="O9" s="118" t="str">
        <f>IF(ValbyACO_COM[[#This Row],[2021 Member Months (sum of ICC3 + 4)]]=0,"NA",(SUMPRODUCT(O23,D23)+SUMPRODUCT(O37,D37))/ValbyACO_COM[[#This Row],[2021 Member Months (sum of ICC3 + 4)]])</f>
        <v>NA</v>
      </c>
      <c r="P9" s="118" t="str">
        <f>IF(ValbyACO_COM[[#This Row],[2021 Member Months (sum of ICC3 + 4)]]=0,"NA",(SUMPRODUCT(P23,D23)+SUMPRODUCT(P37,D37))/ValbyACO_COM[[#This Row],[2021 Member Months (sum of ICC3 + 4)]])</f>
        <v>NA</v>
      </c>
      <c r="Q9" s="119" t="str">
        <f>IF(ValbyACO_COM[[#This Row],[2021 Member Months (sum of ICC3 + 4)]]=0,"NA",(SUMPRODUCT(Q23,D23)+SUMPRODUCT(Q37,D37))/ValbyACO_COM[[#This Row],[2021 Member Months (sum of ICC3 + 4)]])</f>
        <v>NA</v>
      </c>
      <c r="R9" s="192">
        <f t="shared" si="1"/>
        <v>0</v>
      </c>
      <c r="S9" s="118" t="str">
        <f>IF(ValbyACO_COM[[#This Row],[2022 Member Months (sum of ICC3 + 4)]]=0,"NA",(SUMPRODUCT(S23,R23)+SUMPRODUCT(S37,R37))/ValbyACO_COM[[#This Row],[2022 Member Months (sum of ICC3 + 4)]])</f>
        <v>NA</v>
      </c>
      <c r="T9" s="118" t="str">
        <f>IF(ValbyACO_COM[[#This Row],[2022 Member Months (sum of ICC3 + 4)]]=0,"NA",(SUMPRODUCT(T23,R23)+SUMPRODUCT(T37,R37))/ValbyACO_COM[[#This Row],[2022 Member Months (sum of ICC3 + 4)]])</f>
        <v>NA</v>
      </c>
      <c r="U9" s="118" t="str">
        <f>IF(ValbyACO_COM[[#This Row],[2022 Member Months (sum of ICC3 + 4)]]=0,"NA",(SUMPRODUCT(U23,R23)+SUMPRODUCT(U37,R37))/ValbyACO_COM[[#This Row],[2022 Member Months (sum of ICC3 + 4)]])</f>
        <v>NA</v>
      </c>
      <c r="V9" s="118" t="str">
        <f>IF(ValbyACO_COM[[#This Row],[2022 Member Months (sum of ICC3 + 4)]]=0,"NA",(SUMPRODUCT(V23,R23)+SUMPRODUCT(V37,R37))/ValbyACO_COM[[#This Row],[2022 Member Months (sum of ICC3 + 4)]])</f>
        <v>NA</v>
      </c>
      <c r="W9" s="118" t="str">
        <f>IF(ValbyACO_COM[[#This Row],[2022 Member Months (sum of ICC3 + 4)]]=0,"NA",(SUMPRODUCT(W23,R23)+SUMPRODUCT(W37,R37))/ValbyACO_COM[[#This Row],[2022 Member Months (sum of ICC3 + 4)]])</f>
        <v>NA</v>
      </c>
      <c r="X9" s="118" t="str">
        <f>IF(ValbyACO_COM[[#This Row],[2022 Member Months (sum of ICC3 + 4)]]=0,"NA",(SUMPRODUCT(X23,R23)+SUMPRODUCT(X37,R37))/ValbyACO_COM[[#This Row],[2022 Member Months (sum of ICC3 + 4)]])</f>
        <v>NA</v>
      </c>
      <c r="Y9" s="118" t="str">
        <f>IF(ValbyACO_COM[[#This Row],[2022 Member Months (sum of ICC3 + 4)]]=0,"NA",(SUMPRODUCT(Y23,R23)+SUMPRODUCT(Y37,R37))/ValbyACO_COM[[#This Row],[2022 Member Months (sum of ICC3 + 4)]])</f>
        <v>NA</v>
      </c>
      <c r="Z9" s="118" t="str">
        <f>IF(ValbyACO_COM[[#This Row],[2022 Member Months (sum of ICC3 + 4)]]=0,"NA",(SUMPRODUCT(Z23,R23)+SUMPRODUCT(Z37,R37))/ValbyACO_COM[[#This Row],[2022 Member Months (sum of ICC3 + 4)]])</f>
        <v>NA</v>
      </c>
      <c r="AA9" s="118" t="str">
        <f>IF(ValbyACO_COM[[#This Row],[2022 Member Months (sum of ICC3 + 4)]]=0,"NA",(SUMPRODUCT(AA23,R23)+SUMPRODUCT(AA37,R37))/ValbyACO_COM[[#This Row],[2022 Member Months (sum of ICC3 + 4)]])</f>
        <v>NA</v>
      </c>
      <c r="AB9" s="118" t="str">
        <f>IF(ValbyACO_COM[[#This Row],[2022 Member Months (sum of ICC3 + 4)]]=0,"NA",(SUMPRODUCT(AB23,R23)+SUMPRODUCT(AB37,R37))/ValbyACO_COM[[#This Row],[2022 Member Months (sum of ICC3 + 4)]])</f>
        <v>NA</v>
      </c>
      <c r="AC9" s="118" t="str">
        <f>IF(ValbyACO_COM[[#This Row],[2022 Member Months (sum of ICC3 + 4)]]=0,"NA",(SUMPRODUCT(AC23,R23)+SUMPRODUCT(AC37,R37))/ValbyACO_COM[[#This Row],[2022 Member Months (sum of ICC3 + 4)]])</f>
        <v>NA</v>
      </c>
      <c r="AD9" s="118" t="str">
        <f>IF(ValbyACO_COM[[#This Row],[2022 Member Months (sum of ICC3 + 4)]]=0,"NA",(SUMPRODUCT(AD23,R23)+SUMPRODUCT(AD37,R37))/ValbyACO_COM[[#This Row],[2022 Member Months (sum of ICC3 + 4)]])</f>
        <v>NA</v>
      </c>
      <c r="AE9" s="119" t="str">
        <f>IF(ValbyACO_COM[[#This Row],[2022 Member Months (sum of ICC3 + 4)]]=0,"NA",(SUMPRODUCT(AE23,R23)+SUMPRODUCT(AE37,R37))/ValbyACO_COM[[#This Row],[2022 Member Months (sum of ICC3 + 4)]])</f>
        <v>NA</v>
      </c>
      <c r="AF9" s="160" t="str">
        <f>IFERROR(IF(ValbyACO_COM[[#This Row],[2021 Member Months (sum of ICC3 + 4)]]=0,"NA",ValbyACO_COM[[#This Row],[2022 Member Months (sum of ICC3 + 4)]]/ValbyACO_COM[[#This Row],[2021 Member Months (sum of ICC3 + 4)]]-1),"NA")</f>
        <v>NA</v>
      </c>
      <c r="AG9" s="161" t="str">
        <f>IFERROR(IF(ValbyACO_COM[[#This Row],[2021 Member Months (sum of ICC3 + 4)]]=0,"NA",ValbyACO_COM[[#This Row],[2022 Claims: Hospital Inpatient]]/ValbyACO_COM[[#This Row],[2021 Claims: Hospital Inpatient]]-1),"NA")</f>
        <v>NA</v>
      </c>
      <c r="AH9" s="162" t="str">
        <f>IFERROR(IF(ValbyACO_COM[[#This Row],[2021 Member Months (sum of ICC3 + 4)]]=0,"NA",ValbyACO_COM[[#This Row],[2022 Claims: Hospital Outpatient]]/ValbyACO_COM[[#This Row],[2021 Claims: Hospital Outpatient]]-1),"NA")</f>
        <v>NA</v>
      </c>
      <c r="AI9" s="162" t="str">
        <f>IFERROR(IF(ValbyACO_COM[[#This Row],[2021 Member Months (sum of ICC3 + 4)]]=0,"NA",ValbyACO_COM[[#This Row],[2022 Claims: Professional, Primary Care]]/ValbyACO_COM[[#This Row],[2021 Claims: Professional, Primary Care]]-1),"NA")</f>
        <v>NA</v>
      </c>
      <c r="AJ9" s="162" t="str">
        <f>IFERROR(IF(ValbyACO_COM[[#This Row],[2021 Member Months (sum of ICC3 + 4)]]=0,"NA",ValbyACO_COM[[#This Row],[2022 Claims: Professional, Specialty Care]]/ValbyACO_COM[[#This Row],[2021 Claims: Professional, Specialty Care]]-1),"NA")</f>
        <v>NA</v>
      </c>
      <c r="AK9" s="162" t="str">
        <f>IFERROR(IF(ValbyACO_COM[[#This Row],[2021 Member Months (sum of ICC3 + 4)]]=0,"NA", ValbyACO_COM[[#This Row],[2022 Claims: Professional Other]]/ValbyACO_COM[[#This Row],[2021 Claims: Professional Other]]-1),"NA")</f>
        <v>NA</v>
      </c>
      <c r="AL9" s="162" t="str">
        <f>IFERROR(IF(ValbyACO_COM[[#This Row],[2021 Member Months (sum of ICC3 + 4)]]=0,"NA",ValbyACO_COM[[#This Row],[2022 Claims: Pharmacy (Gross of Retail Pharmacy Rebates)]]/ValbyACO_COM[[#This Row],[2021 Claims: Pharmacy (Gross of  Rebates)]]-1),"NA")</f>
        <v>NA</v>
      </c>
      <c r="AM9" s="162" t="str">
        <f>IFERROR(IF(ValbyACO_COM[[#This Row],[2021 Member Months (sum of ICC3 + 4)]]=0,"NA",ValbyACO_COM[[#This Row],[2022 Claims: Long-term Care]]/ValbyACO_COM[[#This Row],[2021 Claims: Long-term Care]]-1),"NA")</f>
        <v>NA</v>
      </c>
      <c r="AN9" s="162" t="str">
        <f>IFERROR(IF(ValbyACO_COM[[#This Row],[2021 Member Months (sum of ICC3 + 4)]]=0,"NA",ValbyACO_COM[[#This Row],[2022 Claims: Other]]/ValbyACO_COM[[#This Row],[2021 Claims: Other]]-1),"NA")</f>
        <v>NA</v>
      </c>
      <c r="AO9" s="163" t="str">
        <f>IFERROR(IF(ValbyACO_COM[[#This Row],[2021 Member Months (sum of ICC3 + 4)]]=0,"NA",ValbyACO_COM[[#This Row],[2022 TOTAL Non-Truncated Claims Expenses]]/ValbyACO_COM[[#This Row],[2021 TOTAL Non-Truncated Claims Expenses]]-1),"NA")</f>
        <v>NA</v>
      </c>
      <c r="AP9" s="163" t="str">
        <f>IFERROR(IF(ValbyACO_COM[[#This Row],[2021 Member Months (sum of ICC3 + 4)]]=0,"NA",ValbyACO_COM[[#This Row],[2022 TOTAL Truncated Claims Expenses]]/ValbyACO_COM[[#This Row],[2021 TOTAL Truncated Claims Expenses]]-1),"NA")</f>
        <v>NA</v>
      </c>
      <c r="AQ9" s="163" t="str">
        <f>IFERROR(IF(ValbyACO_COM[[#This Row],[2021 Member Months (sum of ICC3 + 4)]]=0,"NA",ValbyACO_COM[[#This Row],[2022 TOTAL Non-Claims Expenses]]/ValbyACO_COM[[#This Row],[2021 TOTAL Non-Claims Expenses]]-1),"NA")</f>
        <v>NA</v>
      </c>
      <c r="AR9" s="163" t="str">
        <f>IFERROR(IF(ValbyACO_COM[[#This Row],[2021 Member Months (sum of ICC3 + 4)]]=0,"NA",ValbyACO_COM[[#This Row],[2022 TOTAL Non-Truncated Total Expenses]]/ValbyACO_COM[[#This Row],[2021 TOTAL Non-Truncated Total Expenses]]-1),"NA")</f>
        <v>NA</v>
      </c>
      <c r="AS9" s="163" t="str">
        <f>IFERROR(IF(ValbyACO_COM[[#This Row],[2021 Member Months (sum of ICC3 + 4)]]=0,"NA",ValbyACO_COM[[#This Row],[2022 TOTAL Truncated Total Expenses]]/ValbyACO_COM[[#This Row],[2021 TOTAL Truncated Total Expenses]]-1),"NA")</f>
        <v>NA</v>
      </c>
    </row>
    <row r="10" spans="2:45" x14ac:dyDescent="0.35">
      <c r="B10" s="250">
        <v>103</v>
      </c>
      <c r="C10" s="131" t="s">
        <v>168</v>
      </c>
      <c r="D10" s="192">
        <f t="shared" si="0"/>
        <v>0</v>
      </c>
      <c r="E10" s="268" t="str">
        <f>IF(ValbyACO_COM[[#This Row],[2021 Member Months (sum of ICC3 + 4)]]=0,"NA",(SUMPRODUCT(E24,D24)+SUMPRODUCT(E38,D38))/ValbyACO_COM[[#This Row],[2021 Member Months (sum of ICC3 + 4)]])</f>
        <v>NA</v>
      </c>
      <c r="F10" s="268" t="str">
        <f>IF(ValbyACO_COM[[#This Row],[2021 Member Months (sum of ICC3 + 4)]]=0,"NA",(SUMPRODUCT(F24,D24)+SUMPRODUCT(F38,D38))/ValbyACO_COM[[#This Row],[2021 Member Months (sum of ICC3 + 4)]])</f>
        <v>NA</v>
      </c>
      <c r="G10" s="268" t="str">
        <f>IF(ValbyACO_COM[[#This Row],[2021 Member Months (sum of ICC3 + 4)]]=0,"NA",(SUMPRODUCT(G24,D24)+SUMPRODUCT(G38,D38))/ValbyACO_COM[[#This Row],[2021 Member Months (sum of ICC3 + 4)]])</f>
        <v>NA</v>
      </c>
      <c r="H10" s="268" t="str">
        <f>IF(ValbyACO_COM[[#This Row],[2021 Member Months (sum of ICC3 + 4)]]=0,"NA",(SUMPRODUCT(H24,D24)+SUMPRODUCT(H38,D38))/ValbyACO_COM[[#This Row],[2021 Member Months (sum of ICC3 + 4)]])</f>
        <v>NA</v>
      </c>
      <c r="I10" s="268" t="str">
        <f>IF(ValbyACO_COM[[#This Row],[2021 Member Months (sum of ICC3 + 4)]]=0,"NA",(SUMPRODUCT(I24,D24)+SUMPRODUCT(I38,D38))/ValbyACO_COM[[#This Row],[2021 Member Months (sum of ICC3 + 4)]])</f>
        <v>NA</v>
      </c>
      <c r="J10" s="268" t="str">
        <f>IF(ValbyACO_COM[[#This Row],[2021 Member Months (sum of ICC3 + 4)]]=0,"NA",(SUMPRODUCT(J24,D24)+SUMPRODUCT(J38,D38))/ValbyACO_COM[[#This Row],[2021 Member Months (sum of ICC3 + 4)]])</f>
        <v>NA</v>
      </c>
      <c r="K10" s="268" t="str">
        <f>IF(ValbyACO_COM[[#This Row],[2021 Member Months (sum of ICC3 + 4)]]=0,"NA",(SUMPRODUCT(K24,D24)+SUMPRODUCT(K38,D38))/ValbyACO_COM[[#This Row],[2021 Member Months (sum of ICC3 + 4)]])</f>
        <v>NA</v>
      </c>
      <c r="L10" s="268" t="str">
        <f>IF(ValbyACO_COM[[#This Row],[2021 Member Months (sum of ICC3 + 4)]]=0,"NA",(SUMPRODUCT(L24,D24)+SUMPRODUCT(L38,D38))/ValbyACO_COM[[#This Row],[2021 Member Months (sum of ICC3 + 4)]])</f>
        <v>NA</v>
      </c>
      <c r="M10" s="118" t="str">
        <f>IF(ValbyACO_COM[[#This Row],[2021 Member Months (sum of ICC3 + 4)]]=0,"NA",(SUMPRODUCT(M24,D24)+SUMPRODUCT(M38,D38))/ValbyACO_COM[[#This Row],[2021 Member Months (sum of ICC3 + 4)]])</f>
        <v>NA</v>
      </c>
      <c r="N10" s="118" t="str">
        <f>IF(ValbyACO_COM[[#This Row],[2021 Member Months (sum of ICC3 + 4)]]=0,"NA",(SUMPRODUCT(N24,D24)+SUMPRODUCT(N38,D38))/ValbyACO_COM[[#This Row],[2021 Member Months (sum of ICC3 + 4)]])</f>
        <v>NA</v>
      </c>
      <c r="O10" s="118" t="str">
        <f>IF(ValbyACO_COM[[#This Row],[2021 Member Months (sum of ICC3 + 4)]]=0,"NA",(SUMPRODUCT(O24,D24)+SUMPRODUCT(O38,D38))/ValbyACO_COM[[#This Row],[2021 Member Months (sum of ICC3 + 4)]])</f>
        <v>NA</v>
      </c>
      <c r="P10" s="118" t="str">
        <f>IF(ValbyACO_COM[[#This Row],[2021 Member Months (sum of ICC3 + 4)]]=0,"NA",(SUMPRODUCT(P24,D24)+SUMPRODUCT(P38,D38))/ValbyACO_COM[[#This Row],[2021 Member Months (sum of ICC3 + 4)]])</f>
        <v>NA</v>
      </c>
      <c r="Q10" s="119" t="str">
        <f>IF(ValbyACO_COM[[#This Row],[2021 Member Months (sum of ICC3 + 4)]]=0,"NA",(SUMPRODUCT(Q24,D24)+SUMPRODUCT(Q38,D38))/ValbyACO_COM[[#This Row],[2021 Member Months (sum of ICC3 + 4)]])</f>
        <v>NA</v>
      </c>
      <c r="R10" s="192">
        <f t="shared" si="1"/>
        <v>0</v>
      </c>
      <c r="S10" s="118" t="str">
        <f>IF(ValbyACO_COM[[#This Row],[2022 Member Months (sum of ICC3 + 4)]]=0,"NA",(SUMPRODUCT(S24,R24)+SUMPRODUCT(S38,R38))/ValbyACO_COM[[#This Row],[2022 Member Months (sum of ICC3 + 4)]])</f>
        <v>NA</v>
      </c>
      <c r="T10" s="118" t="str">
        <f>IF(ValbyACO_COM[[#This Row],[2022 Member Months (sum of ICC3 + 4)]]=0,"NA",(SUMPRODUCT(T24,R24)+SUMPRODUCT(T38,R38))/ValbyACO_COM[[#This Row],[2022 Member Months (sum of ICC3 + 4)]])</f>
        <v>NA</v>
      </c>
      <c r="U10" s="118" t="str">
        <f>IF(ValbyACO_COM[[#This Row],[2022 Member Months (sum of ICC3 + 4)]]=0,"NA",(SUMPRODUCT(U24,R24)+SUMPRODUCT(U38,R38))/ValbyACO_COM[[#This Row],[2022 Member Months (sum of ICC3 + 4)]])</f>
        <v>NA</v>
      </c>
      <c r="V10" s="118" t="str">
        <f>IF(ValbyACO_COM[[#This Row],[2022 Member Months (sum of ICC3 + 4)]]=0,"NA",(SUMPRODUCT(V24,R24)+SUMPRODUCT(V38,R38))/ValbyACO_COM[[#This Row],[2022 Member Months (sum of ICC3 + 4)]])</f>
        <v>NA</v>
      </c>
      <c r="W10" s="118" t="str">
        <f>IF(ValbyACO_COM[[#This Row],[2022 Member Months (sum of ICC3 + 4)]]=0,"NA",(SUMPRODUCT(W24,R24)+SUMPRODUCT(W38,R38))/ValbyACO_COM[[#This Row],[2022 Member Months (sum of ICC3 + 4)]])</f>
        <v>NA</v>
      </c>
      <c r="X10" s="118" t="str">
        <f>IF(ValbyACO_COM[[#This Row],[2022 Member Months (sum of ICC3 + 4)]]=0,"NA",(SUMPRODUCT(X24,R24)+SUMPRODUCT(X38,R38))/ValbyACO_COM[[#This Row],[2022 Member Months (sum of ICC3 + 4)]])</f>
        <v>NA</v>
      </c>
      <c r="Y10" s="118" t="str">
        <f>IF(ValbyACO_COM[[#This Row],[2022 Member Months (sum of ICC3 + 4)]]=0,"NA",(SUMPRODUCT(Y24,R24)+SUMPRODUCT(Y38,R38))/ValbyACO_COM[[#This Row],[2022 Member Months (sum of ICC3 + 4)]])</f>
        <v>NA</v>
      </c>
      <c r="Z10" s="118" t="str">
        <f>IF(ValbyACO_COM[[#This Row],[2022 Member Months (sum of ICC3 + 4)]]=0,"NA",(SUMPRODUCT(Z24,R24)+SUMPRODUCT(Z38,R38))/ValbyACO_COM[[#This Row],[2022 Member Months (sum of ICC3 + 4)]])</f>
        <v>NA</v>
      </c>
      <c r="AA10" s="118" t="str">
        <f>IF(ValbyACO_COM[[#This Row],[2022 Member Months (sum of ICC3 + 4)]]=0,"NA",(SUMPRODUCT(AA24,R24)+SUMPRODUCT(AA38,R38))/ValbyACO_COM[[#This Row],[2022 Member Months (sum of ICC3 + 4)]])</f>
        <v>NA</v>
      </c>
      <c r="AB10" s="118" t="str">
        <f>IF(ValbyACO_COM[[#This Row],[2022 Member Months (sum of ICC3 + 4)]]=0,"NA",(SUMPRODUCT(AB24,R24)+SUMPRODUCT(AB38,R38))/ValbyACO_COM[[#This Row],[2022 Member Months (sum of ICC3 + 4)]])</f>
        <v>NA</v>
      </c>
      <c r="AC10" s="118" t="str">
        <f>IF(ValbyACO_COM[[#This Row],[2022 Member Months (sum of ICC3 + 4)]]=0,"NA",(SUMPRODUCT(AC24,R24)+SUMPRODUCT(AC38,R38))/ValbyACO_COM[[#This Row],[2022 Member Months (sum of ICC3 + 4)]])</f>
        <v>NA</v>
      </c>
      <c r="AD10" s="118" t="str">
        <f>IF(ValbyACO_COM[[#This Row],[2022 Member Months (sum of ICC3 + 4)]]=0,"NA",(SUMPRODUCT(AD24,R24)+SUMPRODUCT(AD38,R38))/ValbyACO_COM[[#This Row],[2022 Member Months (sum of ICC3 + 4)]])</f>
        <v>NA</v>
      </c>
      <c r="AE10" s="119" t="str">
        <f>IF(ValbyACO_COM[[#This Row],[2022 Member Months (sum of ICC3 + 4)]]=0,"NA",(SUMPRODUCT(AE24,R24)+SUMPRODUCT(AE38,R38))/ValbyACO_COM[[#This Row],[2022 Member Months (sum of ICC3 + 4)]])</f>
        <v>NA</v>
      </c>
      <c r="AF10" s="160" t="str">
        <f>IFERROR(IF(ValbyACO_COM[[#This Row],[2021 Member Months (sum of ICC3 + 4)]]=0,"NA",ValbyACO_COM[[#This Row],[2022 Member Months (sum of ICC3 + 4)]]/ValbyACO_COM[[#This Row],[2021 Member Months (sum of ICC3 + 4)]]-1),"NA")</f>
        <v>NA</v>
      </c>
      <c r="AG10" s="161" t="str">
        <f>IFERROR(IF(ValbyACO_COM[[#This Row],[2021 Member Months (sum of ICC3 + 4)]]=0,"NA",ValbyACO_COM[[#This Row],[2022 Claims: Hospital Inpatient]]/ValbyACO_COM[[#This Row],[2021 Claims: Hospital Inpatient]]-1),"NA")</f>
        <v>NA</v>
      </c>
      <c r="AH10" s="162" t="str">
        <f>IFERROR(IF(ValbyACO_COM[[#This Row],[2021 Member Months (sum of ICC3 + 4)]]=0,"NA",ValbyACO_COM[[#This Row],[2022 Claims: Hospital Outpatient]]/ValbyACO_COM[[#This Row],[2021 Claims: Hospital Outpatient]]-1),"NA")</f>
        <v>NA</v>
      </c>
      <c r="AI10" s="162" t="str">
        <f>IFERROR(IF(ValbyACO_COM[[#This Row],[2021 Member Months (sum of ICC3 + 4)]]=0,"NA",ValbyACO_COM[[#This Row],[2022 Claims: Professional, Primary Care]]/ValbyACO_COM[[#This Row],[2021 Claims: Professional, Primary Care]]-1),"NA")</f>
        <v>NA</v>
      </c>
      <c r="AJ10" s="162" t="str">
        <f>IFERROR(IF(ValbyACO_COM[[#This Row],[2021 Member Months (sum of ICC3 + 4)]]=0,"NA",ValbyACO_COM[[#This Row],[2022 Claims: Professional, Specialty Care]]/ValbyACO_COM[[#This Row],[2021 Claims: Professional, Specialty Care]]-1),"NA")</f>
        <v>NA</v>
      </c>
      <c r="AK10" s="162" t="str">
        <f>IFERROR(IF(ValbyACO_COM[[#This Row],[2021 Member Months (sum of ICC3 + 4)]]=0,"NA", ValbyACO_COM[[#This Row],[2022 Claims: Professional Other]]/ValbyACO_COM[[#This Row],[2021 Claims: Professional Other]]-1),"NA")</f>
        <v>NA</v>
      </c>
      <c r="AL10" s="162" t="str">
        <f>IFERROR(IF(ValbyACO_COM[[#This Row],[2021 Member Months (sum of ICC3 + 4)]]=0,"NA",ValbyACO_COM[[#This Row],[2022 Claims: Pharmacy (Gross of Retail Pharmacy Rebates)]]/ValbyACO_COM[[#This Row],[2021 Claims: Pharmacy (Gross of  Rebates)]]-1),"NA")</f>
        <v>NA</v>
      </c>
      <c r="AM10" s="162" t="str">
        <f>IFERROR(IF(ValbyACO_COM[[#This Row],[2021 Member Months (sum of ICC3 + 4)]]=0,"NA",ValbyACO_COM[[#This Row],[2022 Claims: Long-term Care]]/ValbyACO_COM[[#This Row],[2021 Claims: Long-term Care]]-1),"NA")</f>
        <v>NA</v>
      </c>
      <c r="AN10" s="162" t="str">
        <f>IFERROR(IF(ValbyACO_COM[[#This Row],[2021 Member Months (sum of ICC3 + 4)]]=0,"NA",ValbyACO_COM[[#This Row],[2022 Claims: Other]]/ValbyACO_COM[[#This Row],[2021 Claims: Other]]-1),"NA")</f>
        <v>NA</v>
      </c>
      <c r="AO10" s="163" t="str">
        <f>IFERROR(IF(ValbyACO_COM[[#This Row],[2021 Member Months (sum of ICC3 + 4)]]=0,"NA",ValbyACO_COM[[#This Row],[2022 TOTAL Non-Truncated Claims Expenses]]/ValbyACO_COM[[#This Row],[2021 TOTAL Non-Truncated Claims Expenses]]-1),"NA")</f>
        <v>NA</v>
      </c>
      <c r="AP10" s="163" t="str">
        <f>IFERROR(IF(ValbyACO_COM[[#This Row],[2021 Member Months (sum of ICC3 + 4)]]=0,"NA",ValbyACO_COM[[#This Row],[2022 TOTAL Truncated Claims Expenses]]/ValbyACO_COM[[#This Row],[2021 TOTAL Truncated Claims Expenses]]-1),"NA")</f>
        <v>NA</v>
      </c>
      <c r="AQ10" s="163" t="str">
        <f>IFERROR(IF(ValbyACO_COM[[#This Row],[2021 Member Months (sum of ICC3 + 4)]]=0,"NA",ValbyACO_COM[[#This Row],[2022 TOTAL Non-Claims Expenses]]/ValbyACO_COM[[#This Row],[2021 TOTAL Non-Claims Expenses]]-1),"NA")</f>
        <v>NA</v>
      </c>
      <c r="AR10" s="163" t="str">
        <f>IFERROR(IF(ValbyACO_COM[[#This Row],[2021 Member Months (sum of ICC3 + 4)]]=0,"NA",ValbyACO_COM[[#This Row],[2022 TOTAL Non-Truncated Total Expenses]]/ValbyACO_COM[[#This Row],[2021 TOTAL Non-Truncated Total Expenses]]-1),"NA")</f>
        <v>NA</v>
      </c>
      <c r="AS10" s="163" t="str">
        <f>IFERROR(IF(ValbyACO_COM[[#This Row],[2021 Member Months (sum of ICC3 + 4)]]=0,"NA",ValbyACO_COM[[#This Row],[2022 TOTAL Truncated Total Expenses]]/ValbyACO_COM[[#This Row],[2021 TOTAL Truncated Total Expenses]]-1),"NA")</f>
        <v>NA</v>
      </c>
    </row>
    <row r="11" spans="2:45" x14ac:dyDescent="0.35">
      <c r="B11" s="250">
        <v>104</v>
      </c>
      <c r="C11" s="131" t="s">
        <v>191</v>
      </c>
      <c r="D11" s="192">
        <f t="shared" si="0"/>
        <v>0</v>
      </c>
      <c r="E11" s="268" t="str">
        <f>IF(ValbyACO_COM[[#This Row],[2021 Member Months (sum of ICC3 + 4)]]=0,"NA",(SUMPRODUCT(E25,D25)+SUMPRODUCT(E39,D39))/ValbyACO_COM[[#This Row],[2021 Member Months (sum of ICC3 + 4)]])</f>
        <v>NA</v>
      </c>
      <c r="F11" s="268" t="str">
        <f>IF(ValbyACO_COM[[#This Row],[2021 Member Months (sum of ICC3 + 4)]]=0,"NA",(SUMPRODUCT(F25,D25)+SUMPRODUCT(F39,D39))/ValbyACO_COM[[#This Row],[2021 Member Months (sum of ICC3 + 4)]])</f>
        <v>NA</v>
      </c>
      <c r="G11" s="268" t="str">
        <f>IF(ValbyACO_COM[[#This Row],[2021 Member Months (sum of ICC3 + 4)]]=0,"NA",(SUMPRODUCT(G25,D25)+SUMPRODUCT(G39,D39))/ValbyACO_COM[[#This Row],[2021 Member Months (sum of ICC3 + 4)]])</f>
        <v>NA</v>
      </c>
      <c r="H11" s="268" t="str">
        <f>IF(ValbyACO_COM[[#This Row],[2021 Member Months (sum of ICC3 + 4)]]=0,"NA",(SUMPRODUCT(H25,D25)+SUMPRODUCT(H39,D39))/ValbyACO_COM[[#This Row],[2021 Member Months (sum of ICC3 + 4)]])</f>
        <v>NA</v>
      </c>
      <c r="I11" s="268" t="str">
        <f>IF(ValbyACO_COM[[#This Row],[2021 Member Months (sum of ICC3 + 4)]]=0,"NA",(SUMPRODUCT(I25,D25)+SUMPRODUCT(I39,D39))/ValbyACO_COM[[#This Row],[2021 Member Months (sum of ICC3 + 4)]])</f>
        <v>NA</v>
      </c>
      <c r="J11" s="268" t="str">
        <f>IF(ValbyACO_COM[[#This Row],[2021 Member Months (sum of ICC3 + 4)]]=0,"NA",(SUMPRODUCT(J25,D25)+SUMPRODUCT(J39,D39))/ValbyACO_COM[[#This Row],[2021 Member Months (sum of ICC3 + 4)]])</f>
        <v>NA</v>
      </c>
      <c r="K11" s="268" t="str">
        <f>IF(ValbyACO_COM[[#This Row],[2021 Member Months (sum of ICC3 + 4)]]=0,"NA",(SUMPRODUCT(K25,D25)+SUMPRODUCT(K39,D39))/ValbyACO_COM[[#This Row],[2021 Member Months (sum of ICC3 + 4)]])</f>
        <v>NA</v>
      </c>
      <c r="L11" s="268" t="str">
        <f>IF(ValbyACO_COM[[#This Row],[2021 Member Months (sum of ICC3 + 4)]]=0,"NA",(SUMPRODUCT(L25,D25)+SUMPRODUCT(L39,D39))/ValbyACO_COM[[#This Row],[2021 Member Months (sum of ICC3 + 4)]])</f>
        <v>NA</v>
      </c>
      <c r="M11" s="118" t="str">
        <f>IF(ValbyACO_COM[[#This Row],[2021 Member Months (sum of ICC3 + 4)]]=0,"NA",(SUMPRODUCT(M25,D25)+SUMPRODUCT(M39,D39))/ValbyACO_COM[[#This Row],[2021 Member Months (sum of ICC3 + 4)]])</f>
        <v>NA</v>
      </c>
      <c r="N11" s="118" t="str">
        <f>IF(ValbyACO_COM[[#This Row],[2021 Member Months (sum of ICC3 + 4)]]=0,"NA",(SUMPRODUCT(N25,D25)+SUMPRODUCT(N39,D39))/ValbyACO_COM[[#This Row],[2021 Member Months (sum of ICC3 + 4)]])</f>
        <v>NA</v>
      </c>
      <c r="O11" s="118" t="str">
        <f>IF(ValbyACO_COM[[#This Row],[2021 Member Months (sum of ICC3 + 4)]]=0,"NA",(SUMPRODUCT(O25,D25)+SUMPRODUCT(O39,D39))/ValbyACO_COM[[#This Row],[2021 Member Months (sum of ICC3 + 4)]])</f>
        <v>NA</v>
      </c>
      <c r="P11" s="118" t="str">
        <f>IF(ValbyACO_COM[[#This Row],[2021 Member Months (sum of ICC3 + 4)]]=0,"NA",(SUMPRODUCT(P25,D25)+SUMPRODUCT(P39,D39))/ValbyACO_COM[[#This Row],[2021 Member Months (sum of ICC3 + 4)]])</f>
        <v>NA</v>
      </c>
      <c r="Q11" s="119" t="str">
        <f>IF(ValbyACO_COM[[#This Row],[2021 Member Months (sum of ICC3 + 4)]]=0,"NA",(SUMPRODUCT(Q25,D25)+SUMPRODUCT(Q39,D39))/ValbyACO_COM[[#This Row],[2021 Member Months (sum of ICC3 + 4)]])</f>
        <v>NA</v>
      </c>
      <c r="R11" s="192">
        <f t="shared" si="1"/>
        <v>0</v>
      </c>
      <c r="S11" s="118" t="str">
        <f>IF(ValbyACO_COM[[#This Row],[2022 Member Months (sum of ICC3 + 4)]]=0,"NA",(SUMPRODUCT(S25,R25)+SUMPRODUCT(S39,R39))/ValbyACO_COM[[#This Row],[2022 Member Months (sum of ICC3 + 4)]])</f>
        <v>NA</v>
      </c>
      <c r="T11" s="118" t="str">
        <f>IF(ValbyACO_COM[[#This Row],[2022 Member Months (sum of ICC3 + 4)]]=0,"NA",(SUMPRODUCT(T25,R25)+SUMPRODUCT(T39,R39))/ValbyACO_COM[[#This Row],[2022 Member Months (sum of ICC3 + 4)]])</f>
        <v>NA</v>
      </c>
      <c r="U11" s="118" t="str">
        <f>IF(ValbyACO_COM[[#This Row],[2022 Member Months (sum of ICC3 + 4)]]=0,"NA",(SUMPRODUCT(U25,R25)+SUMPRODUCT(U39,R39))/ValbyACO_COM[[#This Row],[2022 Member Months (sum of ICC3 + 4)]])</f>
        <v>NA</v>
      </c>
      <c r="V11" s="118" t="str">
        <f>IF(ValbyACO_COM[[#This Row],[2022 Member Months (sum of ICC3 + 4)]]=0,"NA",(SUMPRODUCT(V25,R25)+SUMPRODUCT(V39,R39))/ValbyACO_COM[[#This Row],[2022 Member Months (sum of ICC3 + 4)]])</f>
        <v>NA</v>
      </c>
      <c r="W11" s="118" t="str">
        <f>IF(ValbyACO_COM[[#This Row],[2022 Member Months (sum of ICC3 + 4)]]=0,"NA",(SUMPRODUCT(W25,R25)+SUMPRODUCT(W39,R39))/ValbyACO_COM[[#This Row],[2022 Member Months (sum of ICC3 + 4)]])</f>
        <v>NA</v>
      </c>
      <c r="X11" s="118" t="str">
        <f>IF(ValbyACO_COM[[#This Row],[2022 Member Months (sum of ICC3 + 4)]]=0,"NA",(SUMPRODUCT(X25,R25)+SUMPRODUCT(X39,R39))/ValbyACO_COM[[#This Row],[2022 Member Months (sum of ICC3 + 4)]])</f>
        <v>NA</v>
      </c>
      <c r="Y11" s="118" t="str">
        <f>IF(ValbyACO_COM[[#This Row],[2022 Member Months (sum of ICC3 + 4)]]=0,"NA",(SUMPRODUCT(Y25,R25)+SUMPRODUCT(Y39,R39))/ValbyACO_COM[[#This Row],[2022 Member Months (sum of ICC3 + 4)]])</f>
        <v>NA</v>
      </c>
      <c r="Z11" s="118" t="str">
        <f>IF(ValbyACO_COM[[#This Row],[2022 Member Months (sum of ICC3 + 4)]]=0,"NA",(SUMPRODUCT(Z25,R25)+SUMPRODUCT(Z39,R39))/ValbyACO_COM[[#This Row],[2022 Member Months (sum of ICC3 + 4)]])</f>
        <v>NA</v>
      </c>
      <c r="AA11" s="118" t="str">
        <f>IF(ValbyACO_COM[[#This Row],[2022 Member Months (sum of ICC3 + 4)]]=0,"NA",(SUMPRODUCT(AA25,R25)+SUMPRODUCT(AA39,R39))/ValbyACO_COM[[#This Row],[2022 Member Months (sum of ICC3 + 4)]])</f>
        <v>NA</v>
      </c>
      <c r="AB11" s="118" t="str">
        <f>IF(ValbyACO_COM[[#This Row],[2022 Member Months (sum of ICC3 + 4)]]=0,"NA",(SUMPRODUCT(AB25,R25)+SUMPRODUCT(AB39,R39))/ValbyACO_COM[[#This Row],[2022 Member Months (sum of ICC3 + 4)]])</f>
        <v>NA</v>
      </c>
      <c r="AC11" s="118" t="str">
        <f>IF(ValbyACO_COM[[#This Row],[2022 Member Months (sum of ICC3 + 4)]]=0,"NA",(SUMPRODUCT(AC25,R25)+SUMPRODUCT(AC39,R39))/ValbyACO_COM[[#This Row],[2022 Member Months (sum of ICC3 + 4)]])</f>
        <v>NA</v>
      </c>
      <c r="AD11" s="118" t="str">
        <f>IF(ValbyACO_COM[[#This Row],[2022 Member Months (sum of ICC3 + 4)]]=0,"NA",(SUMPRODUCT(AD25,R25)+SUMPRODUCT(AD39,R39))/ValbyACO_COM[[#This Row],[2022 Member Months (sum of ICC3 + 4)]])</f>
        <v>NA</v>
      </c>
      <c r="AE11" s="119" t="str">
        <f>IF(ValbyACO_COM[[#This Row],[2022 Member Months (sum of ICC3 + 4)]]=0,"NA",(SUMPRODUCT(AE25,R25)+SUMPRODUCT(AE39,R39))/ValbyACO_COM[[#This Row],[2022 Member Months (sum of ICC3 + 4)]])</f>
        <v>NA</v>
      </c>
      <c r="AF11" s="160" t="str">
        <f>IFERROR(IF(ValbyACO_COM[[#This Row],[2021 Member Months (sum of ICC3 + 4)]]=0,"NA",ValbyACO_COM[[#This Row],[2022 Member Months (sum of ICC3 + 4)]]/ValbyACO_COM[[#This Row],[2021 Member Months (sum of ICC3 + 4)]]-1),"NA")</f>
        <v>NA</v>
      </c>
      <c r="AG11" s="161" t="str">
        <f>IFERROR(IF(ValbyACO_COM[[#This Row],[2021 Member Months (sum of ICC3 + 4)]]=0,"NA",ValbyACO_COM[[#This Row],[2022 Claims: Hospital Inpatient]]/ValbyACO_COM[[#This Row],[2021 Claims: Hospital Inpatient]]-1),"NA")</f>
        <v>NA</v>
      </c>
      <c r="AH11" s="162" t="str">
        <f>IFERROR(IF(ValbyACO_COM[[#This Row],[2021 Member Months (sum of ICC3 + 4)]]=0,"NA",ValbyACO_COM[[#This Row],[2022 Claims: Hospital Outpatient]]/ValbyACO_COM[[#This Row],[2021 Claims: Hospital Outpatient]]-1),"NA")</f>
        <v>NA</v>
      </c>
      <c r="AI11" s="162" t="str">
        <f>IFERROR(IF(ValbyACO_COM[[#This Row],[2021 Member Months (sum of ICC3 + 4)]]=0,"NA",ValbyACO_COM[[#This Row],[2022 Claims: Professional, Primary Care]]/ValbyACO_COM[[#This Row],[2021 Claims: Professional, Primary Care]]-1),"NA")</f>
        <v>NA</v>
      </c>
      <c r="AJ11" s="162" t="str">
        <f>IFERROR(IF(ValbyACO_COM[[#This Row],[2021 Member Months (sum of ICC3 + 4)]]=0,"NA",ValbyACO_COM[[#This Row],[2022 Claims: Professional, Specialty Care]]/ValbyACO_COM[[#This Row],[2021 Claims: Professional, Specialty Care]]-1),"NA")</f>
        <v>NA</v>
      </c>
      <c r="AK11" s="162" t="str">
        <f>IFERROR(IF(ValbyACO_COM[[#This Row],[2021 Member Months (sum of ICC3 + 4)]]=0,"NA", ValbyACO_COM[[#This Row],[2022 Claims: Professional Other]]/ValbyACO_COM[[#This Row],[2021 Claims: Professional Other]]-1),"NA")</f>
        <v>NA</v>
      </c>
      <c r="AL11" s="162" t="str">
        <f>IFERROR(IF(ValbyACO_COM[[#This Row],[2021 Member Months (sum of ICC3 + 4)]]=0,"NA",ValbyACO_COM[[#This Row],[2022 Claims: Pharmacy (Gross of Retail Pharmacy Rebates)]]/ValbyACO_COM[[#This Row],[2021 Claims: Pharmacy (Gross of  Rebates)]]-1),"NA")</f>
        <v>NA</v>
      </c>
      <c r="AM11" s="162" t="str">
        <f>IFERROR(IF(ValbyACO_COM[[#This Row],[2021 Member Months (sum of ICC3 + 4)]]=0,"NA",ValbyACO_COM[[#This Row],[2022 Claims: Long-term Care]]/ValbyACO_COM[[#This Row],[2021 Claims: Long-term Care]]-1),"NA")</f>
        <v>NA</v>
      </c>
      <c r="AN11" s="162" t="str">
        <f>IFERROR(IF(ValbyACO_COM[[#This Row],[2021 Member Months (sum of ICC3 + 4)]]=0,"NA",ValbyACO_COM[[#This Row],[2022 Claims: Other]]/ValbyACO_COM[[#This Row],[2021 Claims: Other]]-1),"NA")</f>
        <v>NA</v>
      </c>
      <c r="AO11" s="163" t="str">
        <f>IFERROR(IF(ValbyACO_COM[[#This Row],[2021 Member Months (sum of ICC3 + 4)]]=0,"NA",ValbyACO_COM[[#This Row],[2022 TOTAL Non-Truncated Claims Expenses]]/ValbyACO_COM[[#This Row],[2021 TOTAL Non-Truncated Claims Expenses]]-1),"NA")</f>
        <v>NA</v>
      </c>
      <c r="AP11" s="163" t="str">
        <f>IFERROR(IF(ValbyACO_COM[[#This Row],[2021 Member Months (sum of ICC3 + 4)]]=0,"NA",ValbyACO_COM[[#This Row],[2022 TOTAL Truncated Claims Expenses]]/ValbyACO_COM[[#This Row],[2021 TOTAL Truncated Claims Expenses]]-1),"NA")</f>
        <v>NA</v>
      </c>
      <c r="AQ11" s="163" t="str">
        <f>IFERROR(IF(ValbyACO_COM[[#This Row],[2021 Member Months (sum of ICC3 + 4)]]=0,"NA",ValbyACO_COM[[#This Row],[2022 TOTAL Non-Claims Expenses]]/ValbyACO_COM[[#This Row],[2021 TOTAL Non-Claims Expenses]]-1),"NA")</f>
        <v>NA</v>
      </c>
      <c r="AR11" s="163" t="str">
        <f>IFERROR(IF(ValbyACO_COM[[#This Row],[2021 Member Months (sum of ICC3 + 4)]]=0,"NA",ValbyACO_COM[[#This Row],[2022 TOTAL Non-Truncated Total Expenses]]/ValbyACO_COM[[#This Row],[2021 TOTAL Non-Truncated Total Expenses]]-1),"NA")</f>
        <v>NA</v>
      </c>
      <c r="AS11" s="163" t="str">
        <f>IFERROR(IF(ValbyACO_COM[[#This Row],[2021 Member Months (sum of ICC3 + 4)]]=0,"NA",ValbyACO_COM[[#This Row],[2022 TOTAL Truncated Total Expenses]]/ValbyACO_COM[[#This Row],[2021 TOTAL Truncated Total Expenses]]-1),"NA")</f>
        <v>NA</v>
      </c>
    </row>
    <row r="12" spans="2:45" x14ac:dyDescent="0.35">
      <c r="B12" s="250">
        <v>105</v>
      </c>
      <c r="C12" s="131" t="s">
        <v>169</v>
      </c>
      <c r="D12" s="192">
        <f t="shared" si="0"/>
        <v>0</v>
      </c>
      <c r="E12" s="268" t="str">
        <f>IF(ValbyACO_COM[[#This Row],[2021 Member Months (sum of ICC3 + 4)]]=0,"NA",(SUMPRODUCT(E26,D26)+SUMPRODUCT(E40,D40))/ValbyACO_COM[[#This Row],[2021 Member Months (sum of ICC3 + 4)]])</f>
        <v>NA</v>
      </c>
      <c r="F12" s="268" t="str">
        <f>IF(ValbyACO_COM[[#This Row],[2021 Member Months (sum of ICC3 + 4)]]=0,"NA",(SUMPRODUCT(F26,D26)+SUMPRODUCT(F40,D40))/ValbyACO_COM[[#This Row],[2021 Member Months (sum of ICC3 + 4)]])</f>
        <v>NA</v>
      </c>
      <c r="G12" s="268" t="str">
        <f>IF(ValbyACO_COM[[#This Row],[2021 Member Months (sum of ICC3 + 4)]]=0,"NA",(SUMPRODUCT(G26,D26)+SUMPRODUCT(G40,D40))/ValbyACO_COM[[#This Row],[2021 Member Months (sum of ICC3 + 4)]])</f>
        <v>NA</v>
      </c>
      <c r="H12" s="268" t="str">
        <f>IF(ValbyACO_COM[[#This Row],[2021 Member Months (sum of ICC3 + 4)]]=0,"NA",(SUMPRODUCT(H26,D26)+SUMPRODUCT(H40,D40))/ValbyACO_COM[[#This Row],[2021 Member Months (sum of ICC3 + 4)]])</f>
        <v>NA</v>
      </c>
      <c r="I12" s="268" t="str">
        <f>IF(ValbyACO_COM[[#This Row],[2021 Member Months (sum of ICC3 + 4)]]=0,"NA",(SUMPRODUCT(I26,D26)+SUMPRODUCT(I40,D40))/ValbyACO_COM[[#This Row],[2021 Member Months (sum of ICC3 + 4)]])</f>
        <v>NA</v>
      </c>
      <c r="J12" s="268" t="str">
        <f>IF(ValbyACO_COM[[#This Row],[2021 Member Months (sum of ICC3 + 4)]]=0,"NA",(SUMPRODUCT(J26,D26)+SUMPRODUCT(J40,D40))/ValbyACO_COM[[#This Row],[2021 Member Months (sum of ICC3 + 4)]])</f>
        <v>NA</v>
      </c>
      <c r="K12" s="268" t="str">
        <f>IF(ValbyACO_COM[[#This Row],[2021 Member Months (sum of ICC3 + 4)]]=0,"NA",(SUMPRODUCT(K26,D26)+SUMPRODUCT(K40,D40))/ValbyACO_COM[[#This Row],[2021 Member Months (sum of ICC3 + 4)]])</f>
        <v>NA</v>
      </c>
      <c r="L12" s="268" t="str">
        <f>IF(ValbyACO_COM[[#This Row],[2021 Member Months (sum of ICC3 + 4)]]=0,"NA",(SUMPRODUCT(L26,D26)+SUMPRODUCT(L40,D40))/ValbyACO_COM[[#This Row],[2021 Member Months (sum of ICC3 + 4)]])</f>
        <v>NA</v>
      </c>
      <c r="M12" s="118" t="str">
        <f>IF(ValbyACO_COM[[#This Row],[2021 Member Months (sum of ICC3 + 4)]]=0,"NA",(SUMPRODUCT(M26,D26)+SUMPRODUCT(M40,D40))/ValbyACO_COM[[#This Row],[2021 Member Months (sum of ICC3 + 4)]])</f>
        <v>NA</v>
      </c>
      <c r="N12" s="118" t="str">
        <f>IF(ValbyACO_COM[[#This Row],[2021 Member Months (sum of ICC3 + 4)]]=0,"NA",(SUMPRODUCT(N26,D26)+SUMPRODUCT(N40,D40))/ValbyACO_COM[[#This Row],[2021 Member Months (sum of ICC3 + 4)]])</f>
        <v>NA</v>
      </c>
      <c r="O12" s="118" t="str">
        <f>IF(ValbyACO_COM[[#This Row],[2021 Member Months (sum of ICC3 + 4)]]=0,"NA",(SUMPRODUCT(O26,D26)+SUMPRODUCT(O40,D40))/ValbyACO_COM[[#This Row],[2021 Member Months (sum of ICC3 + 4)]])</f>
        <v>NA</v>
      </c>
      <c r="P12" s="118" t="str">
        <f>IF(ValbyACO_COM[[#This Row],[2021 Member Months (sum of ICC3 + 4)]]=0,"NA",(SUMPRODUCT(P26,D26)+SUMPRODUCT(P40,D40))/ValbyACO_COM[[#This Row],[2021 Member Months (sum of ICC3 + 4)]])</f>
        <v>NA</v>
      </c>
      <c r="Q12" s="119" t="str">
        <f>IF(ValbyACO_COM[[#This Row],[2021 Member Months (sum of ICC3 + 4)]]=0,"NA",(SUMPRODUCT(Q26,D26)+SUMPRODUCT(Q40,D40))/ValbyACO_COM[[#This Row],[2021 Member Months (sum of ICC3 + 4)]])</f>
        <v>NA</v>
      </c>
      <c r="R12" s="192">
        <f t="shared" si="1"/>
        <v>0</v>
      </c>
      <c r="S12" s="118" t="str">
        <f>IF(ValbyACO_COM[[#This Row],[2022 Member Months (sum of ICC3 + 4)]]=0,"NA",(SUMPRODUCT(S26,R26)+SUMPRODUCT(S40,R40))/ValbyACO_COM[[#This Row],[2022 Member Months (sum of ICC3 + 4)]])</f>
        <v>NA</v>
      </c>
      <c r="T12" s="118" t="str">
        <f>IF(ValbyACO_COM[[#This Row],[2022 Member Months (sum of ICC3 + 4)]]=0,"NA",(SUMPRODUCT(T26,R26)+SUMPRODUCT(T40,R40))/ValbyACO_COM[[#This Row],[2022 Member Months (sum of ICC3 + 4)]])</f>
        <v>NA</v>
      </c>
      <c r="U12" s="118" t="str">
        <f>IF(ValbyACO_COM[[#This Row],[2022 Member Months (sum of ICC3 + 4)]]=0,"NA",(SUMPRODUCT(U26,R26)+SUMPRODUCT(U40,R40))/ValbyACO_COM[[#This Row],[2022 Member Months (sum of ICC3 + 4)]])</f>
        <v>NA</v>
      </c>
      <c r="V12" s="118" t="str">
        <f>IF(ValbyACO_COM[[#This Row],[2022 Member Months (sum of ICC3 + 4)]]=0,"NA",(SUMPRODUCT(V26,R26)+SUMPRODUCT(V40,R40))/ValbyACO_COM[[#This Row],[2022 Member Months (sum of ICC3 + 4)]])</f>
        <v>NA</v>
      </c>
      <c r="W12" s="118" t="str">
        <f>IF(ValbyACO_COM[[#This Row],[2022 Member Months (sum of ICC3 + 4)]]=0,"NA",(SUMPRODUCT(W26,R26)+SUMPRODUCT(W40,R40))/ValbyACO_COM[[#This Row],[2022 Member Months (sum of ICC3 + 4)]])</f>
        <v>NA</v>
      </c>
      <c r="X12" s="118" t="str">
        <f>IF(ValbyACO_COM[[#This Row],[2022 Member Months (sum of ICC3 + 4)]]=0,"NA",(SUMPRODUCT(X26,R26)+SUMPRODUCT(X40,R40))/ValbyACO_COM[[#This Row],[2022 Member Months (sum of ICC3 + 4)]])</f>
        <v>NA</v>
      </c>
      <c r="Y12" s="118" t="str">
        <f>IF(ValbyACO_COM[[#This Row],[2022 Member Months (sum of ICC3 + 4)]]=0,"NA",(SUMPRODUCT(Y26,R26)+SUMPRODUCT(Y40,R40))/ValbyACO_COM[[#This Row],[2022 Member Months (sum of ICC3 + 4)]])</f>
        <v>NA</v>
      </c>
      <c r="Z12" s="118" t="str">
        <f>IF(ValbyACO_COM[[#This Row],[2022 Member Months (sum of ICC3 + 4)]]=0,"NA",(SUMPRODUCT(Z26,R26)+SUMPRODUCT(Z40,R40))/ValbyACO_COM[[#This Row],[2022 Member Months (sum of ICC3 + 4)]])</f>
        <v>NA</v>
      </c>
      <c r="AA12" s="118" t="str">
        <f>IF(ValbyACO_COM[[#This Row],[2022 Member Months (sum of ICC3 + 4)]]=0,"NA",(SUMPRODUCT(AA26,R26)+SUMPRODUCT(AA40,R40))/ValbyACO_COM[[#This Row],[2022 Member Months (sum of ICC3 + 4)]])</f>
        <v>NA</v>
      </c>
      <c r="AB12" s="118" t="str">
        <f>IF(ValbyACO_COM[[#This Row],[2022 Member Months (sum of ICC3 + 4)]]=0,"NA",(SUMPRODUCT(AB26,R26)+SUMPRODUCT(AB40,R40))/ValbyACO_COM[[#This Row],[2022 Member Months (sum of ICC3 + 4)]])</f>
        <v>NA</v>
      </c>
      <c r="AC12" s="118" t="str">
        <f>IF(ValbyACO_COM[[#This Row],[2022 Member Months (sum of ICC3 + 4)]]=0,"NA",(SUMPRODUCT(AC26,R26)+SUMPRODUCT(AC40,R40))/ValbyACO_COM[[#This Row],[2022 Member Months (sum of ICC3 + 4)]])</f>
        <v>NA</v>
      </c>
      <c r="AD12" s="118" t="str">
        <f>IF(ValbyACO_COM[[#This Row],[2022 Member Months (sum of ICC3 + 4)]]=0,"NA",(SUMPRODUCT(AD26,R26)+SUMPRODUCT(AD40,R40))/ValbyACO_COM[[#This Row],[2022 Member Months (sum of ICC3 + 4)]])</f>
        <v>NA</v>
      </c>
      <c r="AE12" s="119" t="str">
        <f>IF(ValbyACO_COM[[#This Row],[2022 Member Months (sum of ICC3 + 4)]]=0,"NA",(SUMPRODUCT(AE26,R26)+SUMPRODUCT(AE40,R40))/ValbyACO_COM[[#This Row],[2022 Member Months (sum of ICC3 + 4)]])</f>
        <v>NA</v>
      </c>
      <c r="AF12" s="160" t="str">
        <f>IFERROR(IF(ValbyACO_COM[[#This Row],[2021 Member Months (sum of ICC3 + 4)]]=0,"NA",ValbyACO_COM[[#This Row],[2022 Member Months (sum of ICC3 + 4)]]/ValbyACO_COM[[#This Row],[2021 Member Months (sum of ICC3 + 4)]]-1),"NA")</f>
        <v>NA</v>
      </c>
      <c r="AG12" s="161" t="str">
        <f>IFERROR(IF(ValbyACO_COM[[#This Row],[2021 Member Months (sum of ICC3 + 4)]]=0,"NA",ValbyACO_COM[[#This Row],[2022 Claims: Hospital Inpatient]]/ValbyACO_COM[[#This Row],[2021 Claims: Hospital Inpatient]]-1),"NA")</f>
        <v>NA</v>
      </c>
      <c r="AH12" s="162" t="str">
        <f>IFERROR(IF(ValbyACO_COM[[#This Row],[2021 Member Months (sum of ICC3 + 4)]]=0,"NA",ValbyACO_COM[[#This Row],[2022 Claims: Hospital Outpatient]]/ValbyACO_COM[[#This Row],[2021 Claims: Hospital Outpatient]]-1),"NA")</f>
        <v>NA</v>
      </c>
      <c r="AI12" s="162" t="str">
        <f>IFERROR(IF(ValbyACO_COM[[#This Row],[2021 Member Months (sum of ICC3 + 4)]]=0,"NA",ValbyACO_COM[[#This Row],[2022 Claims: Professional, Primary Care]]/ValbyACO_COM[[#This Row],[2021 Claims: Professional, Primary Care]]-1),"NA")</f>
        <v>NA</v>
      </c>
      <c r="AJ12" s="162" t="str">
        <f>IFERROR(IF(ValbyACO_COM[[#This Row],[2021 Member Months (sum of ICC3 + 4)]]=0,"NA",ValbyACO_COM[[#This Row],[2022 Claims: Professional, Specialty Care]]/ValbyACO_COM[[#This Row],[2021 Claims: Professional, Specialty Care]]-1),"NA")</f>
        <v>NA</v>
      </c>
      <c r="AK12" s="162" t="str">
        <f>IFERROR(IF(ValbyACO_COM[[#This Row],[2021 Member Months (sum of ICC3 + 4)]]=0,"NA", ValbyACO_COM[[#This Row],[2022 Claims: Professional Other]]/ValbyACO_COM[[#This Row],[2021 Claims: Professional Other]]-1),"NA")</f>
        <v>NA</v>
      </c>
      <c r="AL12" s="162" t="str">
        <f>IFERROR(IF(ValbyACO_COM[[#This Row],[2021 Member Months (sum of ICC3 + 4)]]=0,"NA",ValbyACO_COM[[#This Row],[2022 Claims: Pharmacy (Gross of Retail Pharmacy Rebates)]]/ValbyACO_COM[[#This Row],[2021 Claims: Pharmacy (Gross of  Rebates)]]-1),"NA")</f>
        <v>NA</v>
      </c>
      <c r="AM12" s="162" t="str">
        <f>IFERROR(IF(ValbyACO_COM[[#This Row],[2021 Member Months (sum of ICC3 + 4)]]=0,"NA",ValbyACO_COM[[#This Row],[2022 Claims: Long-term Care]]/ValbyACO_COM[[#This Row],[2021 Claims: Long-term Care]]-1),"NA")</f>
        <v>NA</v>
      </c>
      <c r="AN12" s="162" t="str">
        <f>IFERROR(IF(ValbyACO_COM[[#This Row],[2021 Member Months (sum of ICC3 + 4)]]=0,"NA",ValbyACO_COM[[#This Row],[2022 Claims: Other]]/ValbyACO_COM[[#This Row],[2021 Claims: Other]]-1),"NA")</f>
        <v>NA</v>
      </c>
      <c r="AO12" s="163" t="str">
        <f>IFERROR(IF(ValbyACO_COM[[#This Row],[2021 Member Months (sum of ICC3 + 4)]]=0,"NA",ValbyACO_COM[[#This Row],[2022 TOTAL Non-Truncated Claims Expenses]]/ValbyACO_COM[[#This Row],[2021 TOTAL Non-Truncated Claims Expenses]]-1),"NA")</f>
        <v>NA</v>
      </c>
      <c r="AP12" s="163" t="str">
        <f>IFERROR(IF(ValbyACO_COM[[#This Row],[2021 Member Months (sum of ICC3 + 4)]]=0,"NA",ValbyACO_COM[[#This Row],[2022 TOTAL Truncated Claims Expenses]]/ValbyACO_COM[[#This Row],[2021 TOTAL Truncated Claims Expenses]]-1),"NA")</f>
        <v>NA</v>
      </c>
      <c r="AQ12" s="163" t="str">
        <f>IFERROR(IF(ValbyACO_COM[[#This Row],[2021 Member Months (sum of ICC3 + 4)]]=0,"NA",ValbyACO_COM[[#This Row],[2022 TOTAL Non-Claims Expenses]]/ValbyACO_COM[[#This Row],[2021 TOTAL Non-Claims Expenses]]-1),"NA")</f>
        <v>NA</v>
      </c>
      <c r="AR12" s="163" t="str">
        <f>IFERROR(IF(ValbyACO_COM[[#This Row],[2021 Member Months (sum of ICC3 + 4)]]=0,"NA",ValbyACO_COM[[#This Row],[2022 TOTAL Non-Truncated Total Expenses]]/ValbyACO_COM[[#This Row],[2021 TOTAL Non-Truncated Total Expenses]]-1),"NA")</f>
        <v>NA</v>
      </c>
      <c r="AS12" s="163" t="str">
        <f>IFERROR(IF(ValbyACO_COM[[#This Row],[2021 Member Months (sum of ICC3 + 4)]]=0,"NA",ValbyACO_COM[[#This Row],[2022 TOTAL Truncated Total Expenses]]/ValbyACO_COM[[#This Row],[2021 TOTAL Truncated Total Expenses]]-1),"NA")</f>
        <v>NA</v>
      </c>
    </row>
    <row r="13" spans="2:45" x14ac:dyDescent="0.35">
      <c r="B13" s="250">
        <v>106</v>
      </c>
      <c r="C13" s="131" t="s">
        <v>170</v>
      </c>
      <c r="D13" s="192">
        <f t="shared" si="0"/>
        <v>0</v>
      </c>
      <c r="E13" s="268" t="str">
        <f>IF(ValbyACO_COM[[#This Row],[2021 Member Months (sum of ICC3 + 4)]]=0,"NA",(SUMPRODUCT(E27,D27)+SUMPRODUCT(E41,D41))/ValbyACO_COM[[#This Row],[2021 Member Months (sum of ICC3 + 4)]])</f>
        <v>NA</v>
      </c>
      <c r="F13" s="268" t="str">
        <f>IF(ValbyACO_COM[[#This Row],[2021 Member Months (sum of ICC3 + 4)]]=0,"NA",(SUMPRODUCT(F27,D27)+SUMPRODUCT(F41,D41))/ValbyACO_COM[[#This Row],[2021 Member Months (sum of ICC3 + 4)]])</f>
        <v>NA</v>
      </c>
      <c r="G13" s="268" t="str">
        <f>IF(ValbyACO_COM[[#This Row],[2021 Member Months (sum of ICC3 + 4)]]=0,"NA",(SUMPRODUCT(G27,D27)+SUMPRODUCT(G41,D41))/ValbyACO_COM[[#This Row],[2021 Member Months (sum of ICC3 + 4)]])</f>
        <v>NA</v>
      </c>
      <c r="H13" s="268" t="str">
        <f>IF(ValbyACO_COM[[#This Row],[2021 Member Months (sum of ICC3 + 4)]]=0,"NA",(SUMPRODUCT(H27,D27)+SUMPRODUCT(H41,D41))/ValbyACO_COM[[#This Row],[2021 Member Months (sum of ICC3 + 4)]])</f>
        <v>NA</v>
      </c>
      <c r="I13" s="268" t="str">
        <f>IF(ValbyACO_COM[[#This Row],[2021 Member Months (sum of ICC3 + 4)]]=0,"NA",(SUMPRODUCT(I27,D27)+SUMPRODUCT(I41,D41))/ValbyACO_COM[[#This Row],[2021 Member Months (sum of ICC3 + 4)]])</f>
        <v>NA</v>
      </c>
      <c r="J13" s="268" t="str">
        <f>IF(ValbyACO_COM[[#This Row],[2021 Member Months (sum of ICC3 + 4)]]=0,"NA",(SUMPRODUCT(J27,D27)+SUMPRODUCT(J41,D41))/ValbyACO_COM[[#This Row],[2021 Member Months (sum of ICC3 + 4)]])</f>
        <v>NA</v>
      </c>
      <c r="K13" s="268" t="str">
        <f>IF(ValbyACO_COM[[#This Row],[2021 Member Months (sum of ICC3 + 4)]]=0,"NA",(SUMPRODUCT(K27,D27)+SUMPRODUCT(K41,D41))/ValbyACO_COM[[#This Row],[2021 Member Months (sum of ICC3 + 4)]])</f>
        <v>NA</v>
      </c>
      <c r="L13" s="268" t="str">
        <f>IF(ValbyACO_COM[[#This Row],[2021 Member Months (sum of ICC3 + 4)]]=0,"NA",(SUMPRODUCT(L27,D27)+SUMPRODUCT(L41,D41))/ValbyACO_COM[[#This Row],[2021 Member Months (sum of ICC3 + 4)]])</f>
        <v>NA</v>
      </c>
      <c r="M13" s="118" t="str">
        <f>IF(ValbyACO_COM[[#This Row],[2021 Member Months (sum of ICC3 + 4)]]=0,"NA",(SUMPRODUCT(M27,D27)+SUMPRODUCT(M41,D41))/ValbyACO_COM[[#This Row],[2021 Member Months (sum of ICC3 + 4)]])</f>
        <v>NA</v>
      </c>
      <c r="N13" s="118" t="str">
        <f>IF(ValbyACO_COM[[#This Row],[2021 Member Months (sum of ICC3 + 4)]]=0,"NA",(SUMPRODUCT(N27,D27)+SUMPRODUCT(N41,D41))/ValbyACO_COM[[#This Row],[2021 Member Months (sum of ICC3 + 4)]])</f>
        <v>NA</v>
      </c>
      <c r="O13" s="118" t="str">
        <f>IF(ValbyACO_COM[[#This Row],[2021 Member Months (sum of ICC3 + 4)]]=0,"NA",(SUMPRODUCT(O27,D27)+SUMPRODUCT(O41,D41))/ValbyACO_COM[[#This Row],[2021 Member Months (sum of ICC3 + 4)]])</f>
        <v>NA</v>
      </c>
      <c r="P13" s="118" t="str">
        <f>IF(ValbyACO_COM[[#This Row],[2021 Member Months (sum of ICC3 + 4)]]=0,"NA",(SUMPRODUCT(P27,D27)+SUMPRODUCT(P41,D41))/ValbyACO_COM[[#This Row],[2021 Member Months (sum of ICC3 + 4)]])</f>
        <v>NA</v>
      </c>
      <c r="Q13" s="119" t="str">
        <f>IF(ValbyACO_COM[[#This Row],[2021 Member Months (sum of ICC3 + 4)]]=0,"NA",(SUMPRODUCT(Q27,D27)+SUMPRODUCT(Q41,D41))/ValbyACO_COM[[#This Row],[2021 Member Months (sum of ICC3 + 4)]])</f>
        <v>NA</v>
      </c>
      <c r="R13" s="192">
        <f t="shared" si="1"/>
        <v>0</v>
      </c>
      <c r="S13" s="118" t="str">
        <f>IF(ValbyACO_COM[[#This Row],[2022 Member Months (sum of ICC3 + 4)]]=0,"NA",(SUMPRODUCT(S27,R27)+SUMPRODUCT(S41,R41))/ValbyACO_COM[[#This Row],[2022 Member Months (sum of ICC3 + 4)]])</f>
        <v>NA</v>
      </c>
      <c r="T13" s="118" t="str">
        <f>IF(ValbyACO_COM[[#This Row],[2022 Member Months (sum of ICC3 + 4)]]=0,"NA",(SUMPRODUCT(T27,R27)+SUMPRODUCT(T41,R41))/ValbyACO_COM[[#This Row],[2022 Member Months (sum of ICC3 + 4)]])</f>
        <v>NA</v>
      </c>
      <c r="U13" s="118" t="str">
        <f>IF(ValbyACO_COM[[#This Row],[2022 Member Months (sum of ICC3 + 4)]]=0,"NA",(SUMPRODUCT(U27,R27)+SUMPRODUCT(U41,R41))/ValbyACO_COM[[#This Row],[2022 Member Months (sum of ICC3 + 4)]])</f>
        <v>NA</v>
      </c>
      <c r="V13" s="118" t="str">
        <f>IF(ValbyACO_COM[[#This Row],[2022 Member Months (sum of ICC3 + 4)]]=0,"NA",(SUMPRODUCT(V27,R27)+SUMPRODUCT(V41,R41))/ValbyACO_COM[[#This Row],[2022 Member Months (sum of ICC3 + 4)]])</f>
        <v>NA</v>
      </c>
      <c r="W13" s="118" t="str">
        <f>IF(ValbyACO_COM[[#This Row],[2022 Member Months (sum of ICC3 + 4)]]=0,"NA",(SUMPRODUCT(W27,R27)+SUMPRODUCT(W41,R41))/ValbyACO_COM[[#This Row],[2022 Member Months (sum of ICC3 + 4)]])</f>
        <v>NA</v>
      </c>
      <c r="X13" s="118" t="str">
        <f>IF(ValbyACO_COM[[#This Row],[2022 Member Months (sum of ICC3 + 4)]]=0,"NA",(SUMPRODUCT(X27,R27)+SUMPRODUCT(X41,R41))/ValbyACO_COM[[#This Row],[2022 Member Months (sum of ICC3 + 4)]])</f>
        <v>NA</v>
      </c>
      <c r="Y13" s="118" t="str">
        <f>IF(ValbyACO_COM[[#This Row],[2022 Member Months (sum of ICC3 + 4)]]=0,"NA",(SUMPRODUCT(Y27,R27)+SUMPRODUCT(Y41,R41))/ValbyACO_COM[[#This Row],[2022 Member Months (sum of ICC3 + 4)]])</f>
        <v>NA</v>
      </c>
      <c r="Z13" s="118" t="str">
        <f>IF(ValbyACO_COM[[#This Row],[2022 Member Months (sum of ICC3 + 4)]]=0,"NA",(SUMPRODUCT(Z27,R27)+SUMPRODUCT(Z41,R41))/ValbyACO_COM[[#This Row],[2022 Member Months (sum of ICC3 + 4)]])</f>
        <v>NA</v>
      </c>
      <c r="AA13" s="118" t="str">
        <f>IF(ValbyACO_COM[[#This Row],[2022 Member Months (sum of ICC3 + 4)]]=0,"NA",(SUMPRODUCT(AA27,R27)+SUMPRODUCT(AA41,R41))/ValbyACO_COM[[#This Row],[2022 Member Months (sum of ICC3 + 4)]])</f>
        <v>NA</v>
      </c>
      <c r="AB13" s="118" t="str">
        <f>IF(ValbyACO_COM[[#This Row],[2022 Member Months (sum of ICC3 + 4)]]=0,"NA",(SUMPRODUCT(AB27,R27)+SUMPRODUCT(AB41,R41))/ValbyACO_COM[[#This Row],[2022 Member Months (sum of ICC3 + 4)]])</f>
        <v>NA</v>
      </c>
      <c r="AC13" s="118" t="str">
        <f>IF(ValbyACO_COM[[#This Row],[2022 Member Months (sum of ICC3 + 4)]]=0,"NA",(SUMPRODUCT(AC27,R27)+SUMPRODUCT(AC41,R41))/ValbyACO_COM[[#This Row],[2022 Member Months (sum of ICC3 + 4)]])</f>
        <v>NA</v>
      </c>
      <c r="AD13" s="118" t="str">
        <f>IF(ValbyACO_COM[[#This Row],[2022 Member Months (sum of ICC3 + 4)]]=0,"NA",(SUMPRODUCT(AD27,R27)+SUMPRODUCT(AD41,R41))/ValbyACO_COM[[#This Row],[2022 Member Months (sum of ICC3 + 4)]])</f>
        <v>NA</v>
      </c>
      <c r="AE13" s="119" t="str">
        <f>IF(ValbyACO_COM[[#This Row],[2022 Member Months (sum of ICC3 + 4)]]=0,"NA",(SUMPRODUCT(AE27,R27)+SUMPRODUCT(AE41,R41))/ValbyACO_COM[[#This Row],[2022 Member Months (sum of ICC3 + 4)]])</f>
        <v>NA</v>
      </c>
      <c r="AF13" s="160" t="str">
        <f>IFERROR(IF(ValbyACO_COM[[#This Row],[2021 Member Months (sum of ICC3 + 4)]]=0,"NA",ValbyACO_COM[[#This Row],[2022 Member Months (sum of ICC3 + 4)]]/ValbyACO_COM[[#This Row],[2021 Member Months (sum of ICC3 + 4)]]-1),"NA")</f>
        <v>NA</v>
      </c>
      <c r="AG13" s="161" t="str">
        <f>IFERROR(IF(ValbyACO_COM[[#This Row],[2021 Member Months (sum of ICC3 + 4)]]=0,"NA",ValbyACO_COM[[#This Row],[2022 Claims: Hospital Inpatient]]/ValbyACO_COM[[#This Row],[2021 Claims: Hospital Inpatient]]-1),"NA")</f>
        <v>NA</v>
      </c>
      <c r="AH13" s="162" t="str">
        <f>IFERROR(IF(ValbyACO_COM[[#This Row],[2021 Member Months (sum of ICC3 + 4)]]=0,"NA",ValbyACO_COM[[#This Row],[2022 Claims: Hospital Outpatient]]/ValbyACO_COM[[#This Row],[2021 Claims: Hospital Outpatient]]-1),"NA")</f>
        <v>NA</v>
      </c>
      <c r="AI13" s="162" t="str">
        <f>IFERROR(IF(ValbyACO_COM[[#This Row],[2021 Member Months (sum of ICC3 + 4)]]=0,"NA",ValbyACO_COM[[#This Row],[2022 Claims: Professional, Primary Care]]/ValbyACO_COM[[#This Row],[2021 Claims: Professional, Primary Care]]-1),"NA")</f>
        <v>NA</v>
      </c>
      <c r="AJ13" s="162" t="str">
        <f>IFERROR(IF(ValbyACO_COM[[#This Row],[2021 Member Months (sum of ICC3 + 4)]]=0,"NA",ValbyACO_COM[[#This Row],[2022 Claims: Professional, Specialty Care]]/ValbyACO_COM[[#This Row],[2021 Claims: Professional, Specialty Care]]-1),"NA")</f>
        <v>NA</v>
      </c>
      <c r="AK13" s="162" t="str">
        <f>IFERROR(IF(ValbyACO_COM[[#This Row],[2021 Member Months (sum of ICC3 + 4)]]=0,"NA", ValbyACO_COM[[#This Row],[2022 Claims: Professional Other]]/ValbyACO_COM[[#This Row],[2021 Claims: Professional Other]]-1),"NA")</f>
        <v>NA</v>
      </c>
      <c r="AL13" s="162" t="str">
        <f>IFERROR(IF(ValbyACO_COM[[#This Row],[2021 Member Months (sum of ICC3 + 4)]]=0,"NA",ValbyACO_COM[[#This Row],[2022 Claims: Pharmacy (Gross of Retail Pharmacy Rebates)]]/ValbyACO_COM[[#This Row],[2021 Claims: Pharmacy (Gross of  Rebates)]]-1),"NA")</f>
        <v>NA</v>
      </c>
      <c r="AM13" s="162" t="str">
        <f>IFERROR(IF(ValbyACO_COM[[#This Row],[2021 Member Months (sum of ICC3 + 4)]]=0,"NA",ValbyACO_COM[[#This Row],[2022 Claims: Long-term Care]]/ValbyACO_COM[[#This Row],[2021 Claims: Long-term Care]]-1),"NA")</f>
        <v>NA</v>
      </c>
      <c r="AN13" s="162" t="str">
        <f>IFERROR(IF(ValbyACO_COM[[#This Row],[2021 Member Months (sum of ICC3 + 4)]]=0,"NA",ValbyACO_COM[[#This Row],[2022 Claims: Other]]/ValbyACO_COM[[#This Row],[2021 Claims: Other]]-1),"NA")</f>
        <v>NA</v>
      </c>
      <c r="AO13" s="163" t="str">
        <f>IFERROR(IF(ValbyACO_COM[[#This Row],[2021 Member Months (sum of ICC3 + 4)]]=0,"NA",ValbyACO_COM[[#This Row],[2022 TOTAL Non-Truncated Claims Expenses]]/ValbyACO_COM[[#This Row],[2021 TOTAL Non-Truncated Claims Expenses]]-1),"NA")</f>
        <v>NA</v>
      </c>
      <c r="AP13" s="163" t="str">
        <f>IFERROR(IF(ValbyACO_COM[[#This Row],[2021 Member Months (sum of ICC3 + 4)]]=0,"NA",ValbyACO_COM[[#This Row],[2022 TOTAL Truncated Claims Expenses]]/ValbyACO_COM[[#This Row],[2021 TOTAL Truncated Claims Expenses]]-1),"NA")</f>
        <v>NA</v>
      </c>
      <c r="AQ13" s="163" t="str">
        <f>IFERROR(IF(ValbyACO_COM[[#This Row],[2021 Member Months (sum of ICC3 + 4)]]=0,"NA",ValbyACO_COM[[#This Row],[2022 TOTAL Non-Claims Expenses]]/ValbyACO_COM[[#This Row],[2021 TOTAL Non-Claims Expenses]]-1),"NA")</f>
        <v>NA</v>
      </c>
      <c r="AR13" s="163" t="str">
        <f>IFERROR(IF(ValbyACO_COM[[#This Row],[2021 Member Months (sum of ICC3 + 4)]]=0,"NA",ValbyACO_COM[[#This Row],[2022 TOTAL Non-Truncated Total Expenses]]/ValbyACO_COM[[#This Row],[2021 TOTAL Non-Truncated Total Expenses]]-1),"NA")</f>
        <v>NA</v>
      </c>
      <c r="AS13" s="163" t="str">
        <f>IFERROR(IF(ValbyACO_COM[[#This Row],[2021 Member Months (sum of ICC3 + 4)]]=0,"NA",ValbyACO_COM[[#This Row],[2022 TOTAL Truncated Total Expenses]]/ValbyACO_COM[[#This Row],[2021 TOTAL Truncated Total Expenses]]-1),"NA")</f>
        <v>NA</v>
      </c>
    </row>
    <row r="14" spans="2:45" x14ac:dyDescent="0.35">
      <c r="B14" s="250">
        <v>107</v>
      </c>
      <c r="C14" s="131" t="s">
        <v>171</v>
      </c>
      <c r="D14" s="192">
        <f t="shared" si="0"/>
        <v>0</v>
      </c>
      <c r="E14" s="268" t="str">
        <f>IF(ValbyACO_COM[[#This Row],[2021 Member Months (sum of ICC3 + 4)]]=0,"NA",(SUMPRODUCT(E28,D28)+SUMPRODUCT(E42,D42))/ValbyACO_COM[[#This Row],[2021 Member Months (sum of ICC3 + 4)]])</f>
        <v>NA</v>
      </c>
      <c r="F14" s="268" t="str">
        <f>IF(ValbyACO_COM[[#This Row],[2021 Member Months (sum of ICC3 + 4)]]=0,"NA",(SUMPRODUCT(F28,D28)+SUMPRODUCT(F42,D42))/ValbyACO_COM[[#This Row],[2021 Member Months (sum of ICC3 + 4)]])</f>
        <v>NA</v>
      </c>
      <c r="G14" s="268" t="str">
        <f>IF(ValbyACO_COM[[#This Row],[2021 Member Months (sum of ICC3 + 4)]]=0,"NA",(SUMPRODUCT(G28,D28)+SUMPRODUCT(G42,D42))/ValbyACO_COM[[#This Row],[2021 Member Months (sum of ICC3 + 4)]])</f>
        <v>NA</v>
      </c>
      <c r="H14" s="268" t="str">
        <f>IF(ValbyACO_COM[[#This Row],[2021 Member Months (sum of ICC3 + 4)]]=0,"NA",(SUMPRODUCT(H28,D28)+SUMPRODUCT(H42,D42))/ValbyACO_COM[[#This Row],[2021 Member Months (sum of ICC3 + 4)]])</f>
        <v>NA</v>
      </c>
      <c r="I14" s="268" t="str">
        <f>IF(ValbyACO_COM[[#This Row],[2021 Member Months (sum of ICC3 + 4)]]=0,"NA",(SUMPRODUCT(I28,D28)+SUMPRODUCT(I42,D42))/ValbyACO_COM[[#This Row],[2021 Member Months (sum of ICC3 + 4)]])</f>
        <v>NA</v>
      </c>
      <c r="J14" s="268" t="str">
        <f>IF(ValbyACO_COM[[#This Row],[2021 Member Months (sum of ICC3 + 4)]]=0,"NA",(SUMPRODUCT(J28,D28)+SUMPRODUCT(J42,D42))/ValbyACO_COM[[#This Row],[2021 Member Months (sum of ICC3 + 4)]])</f>
        <v>NA</v>
      </c>
      <c r="K14" s="268" t="str">
        <f>IF(ValbyACO_COM[[#This Row],[2021 Member Months (sum of ICC3 + 4)]]=0,"NA",(SUMPRODUCT(K28,D28)+SUMPRODUCT(K42,D42))/ValbyACO_COM[[#This Row],[2021 Member Months (sum of ICC3 + 4)]])</f>
        <v>NA</v>
      </c>
      <c r="L14" s="268" t="str">
        <f>IF(ValbyACO_COM[[#This Row],[2021 Member Months (sum of ICC3 + 4)]]=0,"NA",(SUMPRODUCT(L28,D28)+SUMPRODUCT(L42,D42))/ValbyACO_COM[[#This Row],[2021 Member Months (sum of ICC3 + 4)]])</f>
        <v>NA</v>
      </c>
      <c r="M14" s="118" t="str">
        <f>IF(ValbyACO_COM[[#This Row],[2021 Member Months (sum of ICC3 + 4)]]=0,"NA",(SUMPRODUCT(M28,D28)+SUMPRODUCT(M42,D42))/ValbyACO_COM[[#This Row],[2021 Member Months (sum of ICC3 + 4)]])</f>
        <v>NA</v>
      </c>
      <c r="N14" s="118" t="str">
        <f>IF(ValbyACO_COM[[#This Row],[2021 Member Months (sum of ICC3 + 4)]]=0,"NA",(SUMPRODUCT(N28,D28)+SUMPRODUCT(N42,D42))/ValbyACO_COM[[#This Row],[2021 Member Months (sum of ICC3 + 4)]])</f>
        <v>NA</v>
      </c>
      <c r="O14" s="118" t="str">
        <f>IF(ValbyACO_COM[[#This Row],[2021 Member Months (sum of ICC3 + 4)]]=0,"NA",(SUMPRODUCT(O28,D28)+SUMPRODUCT(O42,D42))/ValbyACO_COM[[#This Row],[2021 Member Months (sum of ICC3 + 4)]])</f>
        <v>NA</v>
      </c>
      <c r="P14" s="118" t="str">
        <f>IF(ValbyACO_COM[[#This Row],[2021 Member Months (sum of ICC3 + 4)]]=0,"NA",(SUMPRODUCT(P28,D28)+SUMPRODUCT(P42,D42))/ValbyACO_COM[[#This Row],[2021 Member Months (sum of ICC3 + 4)]])</f>
        <v>NA</v>
      </c>
      <c r="Q14" s="119" t="str">
        <f>IF(ValbyACO_COM[[#This Row],[2021 Member Months (sum of ICC3 + 4)]]=0,"NA",(SUMPRODUCT(Q28,D28)+SUMPRODUCT(Q42,D42))/ValbyACO_COM[[#This Row],[2021 Member Months (sum of ICC3 + 4)]])</f>
        <v>NA</v>
      </c>
      <c r="R14" s="192">
        <f t="shared" si="1"/>
        <v>0</v>
      </c>
      <c r="S14" s="118" t="str">
        <f>IF(ValbyACO_COM[[#This Row],[2022 Member Months (sum of ICC3 + 4)]]=0,"NA",(SUMPRODUCT(S28,R28)+SUMPRODUCT(S42,R42))/ValbyACO_COM[[#This Row],[2022 Member Months (sum of ICC3 + 4)]])</f>
        <v>NA</v>
      </c>
      <c r="T14" s="118" t="str">
        <f>IF(ValbyACO_COM[[#This Row],[2022 Member Months (sum of ICC3 + 4)]]=0,"NA",(SUMPRODUCT(T28,R28)+SUMPRODUCT(T42,R42))/ValbyACO_COM[[#This Row],[2022 Member Months (sum of ICC3 + 4)]])</f>
        <v>NA</v>
      </c>
      <c r="U14" s="118" t="str">
        <f>IF(ValbyACO_COM[[#This Row],[2022 Member Months (sum of ICC3 + 4)]]=0,"NA",(SUMPRODUCT(U28,R28)+SUMPRODUCT(U42,R42))/ValbyACO_COM[[#This Row],[2022 Member Months (sum of ICC3 + 4)]])</f>
        <v>NA</v>
      </c>
      <c r="V14" s="118" t="str">
        <f>IF(ValbyACO_COM[[#This Row],[2022 Member Months (sum of ICC3 + 4)]]=0,"NA",(SUMPRODUCT(V28,R28)+SUMPRODUCT(V42,R42))/ValbyACO_COM[[#This Row],[2022 Member Months (sum of ICC3 + 4)]])</f>
        <v>NA</v>
      </c>
      <c r="W14" s="118" t="str">
        <f>IF(ValbyACO_COM[[#This Row],[2022 Member Months (sum of ICC3 + 4)]]=0,"NA",(SUMPRODUCT(W28,R28)+SUMPRODUCT(W42,R42))/ValbyACO_COM[[#This Row],[2022 Member Months (sum of ICC3 + 4)]])</f>
        <v>NA</v>
      </c>
      <c r="X14" s="118" t="str">
        <f>IF(ValbyACO_COM[[#This Row],[2022 Member Months (sum of ICC3 + 4)]]=0,"NA",(SUMPRODUCT(X28,R28)+SUMPRODUCT(X42,R42))/ValbyACO_COM[[#This Row],[2022 Member Months (sum of ICC3 + 4)]])</f>
        <v>NA</v>
      </c>
      <c r="Y14" s="118" t="str">
        <f>IF(ValbyACO_COM[[#This Row],[2022 Member Months (sum of ICC3 + 4)]]=0,"NA",(SUMPRODUCT(Y28,R28)+SUMPRODUCT(Y42,R42))/ValbyACO_COM[[#This Row],[2022 Member Months (sum of ICC3 + 4)]])</f>
        <v>NA</v>
      </c>
      <c r="Z14" s="118" t="str">
        <f>IF(ValbyACO_COM[[#This Row],[2022 Member Months (sum of ICC3 + 4)]]=0,"NA",(SUMPRODUCT(Z28,R28)+SUMPRODUCT(Z42,R42))/ValbyACO_COM[[#This Row],[2022 Member Months (sum of ICC3 + 4)]])</f>
        <v>NA</v>
      </c>
      <c r="AA14" s="118" t="str">
        <f>IF(ValbyACO_COM[[#This Row],[2022 Member Months (sum of ICC3 + 4)]]=0,"NA",(SUMPRODUCT(AA28,R28)+SUMPRODUCT(AA42,R42))/ValbyACO_COM[[#This Row],[2022 Member Months (sum of ICC3 + 4)]])</f>
        <v>NA</v>
      </c>
      <c r="AB14" s="118" t="str">
        <f>IF(ValbyACO_COM[[#This Row],[2022 Member Months (sum of ICC3 + 4)]]=0,"NA",(SUMPRODUCT(AB28,R28)+SUMPRODUCT(AB42,R42))/ValbyACO_COM[[#This Row],[2022 Member Months (sum of ICC3 + 4)]])</f>
        <v>NA</v>
      </c>
      <c r="AC14" s="118" t="str">
        <f>IF(ValbyACO_COM[[#This Row],[2022 Member Months (sum of ICC3 + 4)]]=0,"NA",(SUMPRODUCT(AC28,R28)+SUMPRODUCT(AC42,R42))/ValbyACO_COM[[#This Row],[2022 Member Months (sum of ICC3 + 4)]])</f>
        <v>NA</v>
      </c>
      <c r="AD14" s="118" t="str">
        <f>IF(ValbyACO_COM[[#This Row],[2022 Member Months (sum of ICC3 + 4)]]=0,"NA",(SUMPRODUCT(AD28,R28)+SUMPRODUCT(AD42,R42))/ValbyACO_COM[[#This Row],[2022 Member Months (sum of ICC3 + 4)]])</f>
        <v>NA</v>
      </c>
      <c r="AE14" s="119" t="str">
        <f>IF(ValbyACO_COM[[#This Row],[2022 Member Months (sum of ICC3 + 4)]]=0,"NA",(SUMPRODUCT(AE28,R28)+SUMPRODUCT(AE42,R42))/ValbyACO_COM[[#This Row],[2022 Member Months (sum of ICC3 + 4)]])</f>
        <v>NA</v>
      </c>
      <c r="AF14" s="160" t="str">
        <f>IFERROR(IF(ValbyACO_COM[[#This Row],[2021 Member Months (sum of ICC3 + 4)]]=0,"NA",ValbyACO_COM[[#This Row],[2022 Member Months (sum of ICC3 + 4)]]/ValbyACO_COM[[#This Row],[2021 Member Months (sum of ICC3 + 4)]]-1),"NA")</f>
        <v>NA</v>
      </c>
      <c r="AG14" s="161" t="str">
        <f>IFERROR(IF(ValbyACO_COM[[#This Row],[2021 Member Months (sum of ICC3 + 4)]]=0,"NA",ValbyACO_COM[[#This Row],[2022 Claims: Hospital Inpatient]]/ValbyACO_COM[[#This Row],[2021 Claims: Hospital Inpatient]]-1),"NA")</f>
        <v>NA</v>
      </c>
      <c r="AH14" s="162" t="str">
        <f>IFERROR(IF(ValbyACO_COM[[#This Row],[2021 Member Months (sum of ICC3 + 4)]]=0,"NA",ValbyACO_COM[[#This Row],[2022 Claims: Hospital Outpatient]]/ValbyACO_COM[[#This Row],[2021 Claims: Hospital Outpatient]]-1),"NA")</f>
        <v>NA</v>
      </c>
      <c r="AI14" s="162" t="str">
        <f>IFERROR(IF(ValbyACO_COM[[#This Row],[2021 Member Months (sum of ICC3 + 4)]]=0,"NA",ValbyACO_COM[[#This Row],[2022 Claims: Professional, Primary Care]]/ValbyACO_COM[[#This Row],[2021 Claims: Professional, Primary Care]]-1),"NA")</f>
        <v>NA</v>
      </c>
      <c r="AJ14" s="162" t="str">
        <f>IFERROR(IF(ValbyACO_COM[[#This Row],[2021 Member Months (sum of ICC3 + 4)]]=0,"NA",ValbyACO_COM[[#This Row],[2022 Claims: Professional, Specialty Care]]/ValbyACO_COM[[#This Row],[2021 Claims: Professional, Specialty Care]]-1),"NA")</f>
        <v>NA</v>
      </c>
      <c r="AK14" s="162" t="str">
        <f>IFERROR(IF(ValbyACO_COM[[#This Row],[2021 Member Months (sum of ICC3 + 4)]]=0,"NA", ValbyACO_COM[[#This Row],[2022 Claims: Professional Other]]/ValbyACO_COM[[#This Row],[2021 Claims: Professional Other]]-1),"NA")</f>
        <v>NA</v>
      </c>
      <c r="AL14" s="162" t="str">
        <f>IFERROR(IF(ValbyACO_COM[[#This Row],[2021 Member Months (sum of ICC3 + 4)]]=0,"NA",ValbyACO_COM[[#This Row],[2022 Claims: Pharmacy (Gross of Retail Pharmacy Rebates)]]/ValbyACO_COM[[#This Row],[2021 Claims: Pharmacy (Gross of  Rebates)]]-1),"NA")</f>
        <v>NA</v>
      </c>
      <c r="AM14" s="162" t="str">
        <f>IFERROR(IF(ValbyACO_COM[[#This Row],[2021 Member Months (sum of ICC3 + 4)]]=0,"NA",ValbyACO_COM[[#This Row],[2022 Claims: Long-term Care]]/ValbyACO_COM[[#This Row],[2021 Claims: Long-term Care]]-1),"NA")</f>
        <v>NA</v>
      </c>
      <c r="AN14" s="162" t="str">
        <f>IFERROR(IF(ValbyACO_COM[[#This Row],[2021 Member Months (sum of ICC3 + 4)]]=0,"NA",ValbyACO_COM[[#This Row],[2022 Claims: Other]]/ValbyACO_COM[[#This Row],[2021 Claims: Other]]-1),"NA")</f>
        <v>NA</v>
      </c>
      <c r="AO14" s="163" t="str">
        <f>IFERROR(IF(ValbyACO_COM[[#This Row],[2021 Member Months (sum of ICC3 + 4)]]=0,"NA",ValbyACO_COM[[#This Row],[2022 TOTAL Non-Truncated Claims Expenses]]/ValbyACO_COM[[#This Row],[2021 TOTAL Non-Truncated Claims Expenses]]-1),"NA")</f>
        <v>NA</v>
      </c>
      <c r="AP14" s="163" t="str">
        <f>IFERROR(IF(ValbyACO_COM[[#This Row],[2021 Member Months (sum of ICC3 + 4)]]=0,"NA",ValbyACO_COM[[#This Row],[2022 TOTAL Truncated Claims Expenses]]/ValbyACO_COM[[#This Row],[2021 TOTAL Truncated Claims Expenses]]-1),"NA")</f>
        <v>NA</v>
      </c>
      <c r="AQ14" s="163" t="str">
        <f>IFERROR(IF(ValbyACO_COM[[#This Row],[2021 Member Months (sum of ICC3 + 4)]]=0,"NA",ValbyACO_COM[[#This Row],[2022 TOTAL Non-Claims Expenses]]/ValbyACO_COM[[#This Row],[2021 TOTAL Non-Claims Expenses]]-1),"NA")</f>
        <v>NA</v>
      </c>
      <c r="AR14" s="163" t="str">
        <f>IFERROR(IF(ValbyACO_COM[[#This Row],[2021 Member Months (sum of ICC3 + 4)]]=0,"NA",ValbyACO_COM[[#This Row],[2022 TOTAL Non-Truncated Total Expenses]]/ValbyACO_COM[[#This Row],[2021 TOTAL Non-Truncated Total Expenses]]-1),"NA")</f>
        <v>NA</v>
      </c>
      <c r="AS14" s="163" t="str">
        <f>IFERROR(IF(ValbyACO_COM[[#This Row],[2021 Member Months (sum of ICC3 + 4)]]=0,"NA",ValbyACO_COM[[#This Row],[2022 TOTAL Truncated Total Expenses]]/ValbyACO_COM[[#This Row],[2021 TOTAL Truncated Total Expenses]]-1),"NA")</f>
        <v>NA</v>
      </c>
    </row>
    <row r="15" spans="2:45" x14ac:dyDescent="0.35">
      <c r="B15" s="250">
        <v>108</v>
      </c>
      <c r="C15" s="131" t="s">
        <v>508</v>
      </c>
      <c r="D15" s="192">
        <f t="shared" si="0"/>
        <v>0</v>
      </c>
      <c r="E15" s="268" t="str">
        <f>IF(ValbyACO_COM[[#This Row],[2021 Member Months (sum of ICC3 + 4)]]=0,"NA",(SUMPRODUCT(E29,D29)+SUMPRODUCT(E43,D43))/ValbyACO_COM[[#This Row],[2021 Member Months (sum of ICC3 + 4)]])</f>
        <v>NA</v>
      </c>
      <c r="F15" s="268" t="str">
        <f>IF(ValbyACO_COM[[#This Row],[2021 Member Months (sum of ICC3 + 4)]]=0,"NA",(SUMPRODUCT(F29,D29)+SUMPRODUCT(F43,D43))/ValbyACO_COM[[#This Row],[2021 Member Months (sum of ICC3 + 4)]])</f>
        <v>NA</v>
      </c>
      <c r="G15" s="268" t="str">
        <f>IF(ValbyACO_COM[[#This Row],[2021 Member Months (sum of ICC3 + 4)]]=0,"NA",(SUMPRODUCT(G29,D29)+SUMPRODUCT(G43,D43))/ValbyACO_COM[[#This Row],[2021 Member Months (sum of ICC3 + 4)]])</f>
        <v>NA</v>
      </c>
      <c r="H15" s="268" t="str">
        <f>IF(ValbyACO_COM[[#This Row],[2021 Member Months (sum of ICC3 + 4)]]=0,"NA",(SUMPRODUCT(H29,D29)+SUMPRODUCT(H43,D43))/ValbyACO_COM[[#This Row],[2021 Member Months (sum of ICC3 + 4)]])</f>
        <v>NA</v>
      </c>
      <c r="I15" s="268" t="str">
        <f>IF(ValbyACO_COM[[#This Row],[2021 Member Months (sum of ICC3 + 4)]]=0,"NA",(SUMPRODUCT(I29,D29)+SUMPRODUCT(I43,D43))/ValbyACO_COM[[#This Row],[2021 Member Months (sum of ICC3 + 4)]])</f>
        <v>NA</v>
      </c>
      <c r="J15" s="268" t="str">
        <f>IF(ValbyACO_COM[[#This Row],[2021 Member Months (sum of ICC3 + 4)]]=0,"NA",(SUMPRODUCT(J29,D29)+SUMPRODUCT(J43,D43))/ValbyACO_COM[[#This Row],[2021 Member Months (sum of ICC3 + 4)]])</f>
        <v>NA</v>
      </c>
      <c r="K15" s="268" t="str">
        <f>IF(ValbyACO_COM[[#This Row],[2021 Member Months (sum of ICC3 + 4)]]=0,"NA",(SUMPRODUCT(K29,D29)+SUMPRODUCT(K43,D43))/ValbyACO_COM[[#This Row],[2021 Member Months (sum of ICC3 + 4)]])</f>
        <v>NA</v>
      </c>
      <c r="L15" s="268" t="str">
        <f>IF(ValbyACO_COM[[#This Row],[2021 Member Months (sum of ICC3 + 4)]]=0,"NA",(SUMPRODUCT(L29,D29)+SUMPRODUCT(L43,D43))/ValbyACO_COM[[#This Row],[2021 Member Months (sum of ICC3 + 4)]])</f>
        <v>NA</v>
      </c>
      <c r="M15" s="118" t="str">
        <f>IF(ValbyACO_COM[[#This Row],[2021 Member Months (sum of ICC3 + 4)]]=0,"NA",(SUMPRODUCT(M29,D29)+SUMPRODUCT(M43,D43))/ValbyACO_COM[[#This Row],[2021 Member Months (sum of ICC3 + 4)]])</f>
        <v>NA</v>
      </c>
      <c r="N15" s="118" t="str">
        <f>IF(ValbyACO_COM[[#This Row],[2021 Member Months (sum of ICC3 + 4)]]=0,"NA",(SUMPRODUCT(N29,D29)+SUMPRODUCT(N43,D43))/ValbyACO_COM[[#This Row],[2021 Member Months (sum of ICC3 + 4)]])</f>
        <v>NA</v>
      </c>
      <c r="O15" s="118" t="str">
        <f>IF(ValbyACO_COM[[#This Row],[2021 Member Months (sum of ICC3 + 4)]]=0,"NA",(SUMPRODUCT(O29,D29)+SUMPRODUCT(O43,D43))/ValbyACO_COM[[#This Row],[2021 Member Months (sum of ICC3 + 4)]])</f>
        <v>NA</v>
      </c>
      <c r="P15" s="118" t="str">
        <f>IF(ValbyACO_COM[[#This Row],[2021 Member Months (sum of ICC3 + 4)]]=0,"NA",(SUMPRODUCT(P29,D29)+SUMPRODUCT(P43,D43))/ValbyACO_COM[[#This Row],[2021 Member Months (sum of ICC3 + 4)]])</f>
        <v>NA</v>
      </c>
      <c r="Q15" s="119" t="str">
        <f>IF(ValbyACO_COM[[#This Row],[2021 Member Months (sum of ICC3 + 4)]]=0,"NA",(SUMPRODUCT(Q29,D29)+SUMPRODUCT(Q43,D43))/ValbyACO_COM[[#This Row],[2021 Member Months (sum of ICC3 + 4)]])</f>
        <v>NA</v>
      </c>
      <c r="R15" s="192">
        <f t="shared" si="1"/>
        <v>0</v>
      </c>
      <c r="S15" s="118" t="str">
        <f>IF(ValbyACO_COM[[#This Row],[2022 Member Months (sum of ICC3 + 4)]]=0,"NA",(SUMPRODUCT(S29,R29)+SUMPRODUCT(S43,R43))/ValbyACO_COM[[#This Row],[2022 Member Months (sum of ICC3 + 4)]])</f>
        <v>NA</v>
      </c>
      <c r="T15" s="118" t="str">
        <f>IF(ValbyACO_COM[[#This Row],[2022 Member Months (sum of ICC3 + 4)]]=0,"NA",(SUMPRODUCT(T29,R29)+SUMPRODUCT(T43,R43))/ValbyACO_COM[[#This Row],[2022 Member Months (sum of ICC3 + 4)]])</f>
        <v>NA</v>
      </c>
      <c r="U15" s="118" t="str">
        <f>IF(ValbyACO_COM[[#This Row],[2022 Member Months (sum of ICC3 + 4)]]=0,"NA",(SUMPRODUCT(U29,R29)+SUMPRODUCT(U43,R43))/ValbyACO_COM[[#This Row],[2022 Member Months (sum of ICC3 + 4)]])</f>
        <v>NA</v>
      </c>
      <c r="V15" s="118" t="str">
        <f>IF(ValbyACO_COM[[#This Row],[2022 Member Months (sum of ICC3 + 4)]]=0,"NA",(SUMPRODUCT(V29,R29)+SUMPRODUCT(V43,R43))/ValbyACO_COM[[#This Row],[2022 Member Months (sum of ICC3 + 4)]])</f>
        <v>NA</v>
      </c>
      <c r="W15" s="118" t="str">
        <f>IF(ValbyACO_COM[[#This Row],[2022 Member Months (sum of ICC3 + 4)]]=0,"NA",(SUMPRODUCT(W29,R29)+SUMPRODUCT(W43,R43))/ValbyACO_COM[[#This Row],[2022 Member Months (sum of ICC3 + 4)]])</f>
        <v>NA</v>
      </c>
      <c r="X15" s="118" t="str">
        <f>IF(ValbyACO_COM[[#This Row],[2022 Member Months (sum of ICC3 + 4)]]=0,"NA",(SUMPRODUCT(X29,R29)+SUMPRODUCT(X43,R43))/ValbyACO_COM[[#This Row],[2022 Member Months (sum of ICC3 + 4)]])</f>
        <v>NA</v>
      </c>
      <c r="Y15" s="118" t="str">
        <f>IF(ValbyACO_COM[[#This Row],[2022 Member Months (sum of ICC3 + 4)]]=0,"NA",(SUMPRODUCT(Y29,R29)+SUMPRODUCT(Y43,R43))/ValbyACO_COM[[#This Row],[2022 Member Months (sum of ICC3 + 4)]])</f>
        <v>NA</v>
      </c>
      <c r="Z15" s="118" t="str">
        <f>IF(ValbyACO_COM[[#This Row],[2022 Member Months (sum of ICC3 + 4)]]=0,"NA",(SUMPRODUCT(Z29,R29)+SUMPRODUCT(Z43,R43))/ValbyACO_COM[[#This Row],[2022 Member Months (sum of ICC3 + 4)]])</f>
        <v>NA</v>
      </c>
      <c r="AA15" s="118" t="str">
        <f>IF(ValbyACO_COM[[#This Row],[2022 Member Months (sum of ICC3 + 4)]]=0,"NA",(SUMPRODUCT(AA29,R29)+SUMPRODUCT(AA43,R43))/ValbyACO_COM[[#This Row],[2022 Member Months (sum of ICC3 + 4)]])</f>
        <v>NA</v>
      </c>
      <c r="AB15" s="118" t="str">
        <f>IF(ValbyACO_COM[[#This Row],[2022 Member Months (sum of ICC3 + 4)]]=0,"NA",(SUMPRODUCT(AB29,R29)+SUMPRODUCT(AB43,R43))/ValbyACO_COM[[#This Row],[2022 Member Months (sum of ICC3 + 4)]])</f>
        <v>NA</v>
      </c>
      <c r="AC15" s="118" t="str">
        <f>IF(ValbyACO_COM[[#This Row],[2022 Member Months (sum of ICC3 + 4)]]=0,"NA",(SUMPRODUCT(AC29,R29)+SUMPRODUCT(AC43,R43))/ValbyACO_COM[[#This Row],[2022 Member Months (sum of ICC3 + 4)]])</f>
        <v>NA</v>
      </c>
      <c r="AD15" s="118" t="str">
        <f>IF(ValbyACO_COM[[#This Row],[2022 Member Months (sum of ICC3 + 4)]]=0,"NA",(SUMPRODUCT(AD29,R29)+SUMPRODUCT(AD43,R43))/ValbyACO_COM[[#This Row],[2022 Member Months (sum of ICC3 + 4)]])</f>
        <v>NA</v>
      </c>
      <c r="AE15" s="119" t="str">
        <f>IF(ValbyACO_COM[[#This Row],[2022 Member Months (sum of ICC3 + 4)]]=0,"NA",(SUMPRODUCT(AE29,R29)+SUMPRODUCT(AE43,R43))/ValbyACO_COM[[#This Row],[2022 Member Months (sum of ICC3 + 4)]])</f>
        <v>NA</v>
      </c>
      <c r="AF15" s="160" t="str">
        <f>IFERROR(IF(ValbyACO_COM[[#This Row],[2021 Member Months (sum of ICC3 + 4)]]=0,"NA",ValbyACO_COM[[#This Row],[2022 Member Months (sum of ICC3 + 4)]]/ValbyACO_COM[[#This Row],[2021 Member Months (sum of ICC3 + 4)]]-1),"NA")</f>
        <v>NA</v>
      </c>
      <c r="AG15" s="161" t="str">
        <f>IFERROR(IF(ValbyACO_COM[[#This Row],[2021 Member Months (sum of ICC3 + 4)]]=0,"NA",ValbyACO_COM[[#This Row],[2022 Claims: Hospital Inpatient]]/ValbyACO_COM[[#This Row],[2021 Claims: Hospital Inpatient]]-1),"NA")</f>
        <v>NA</v>
      </c>
      <c r="AH15" s="162" t="str">
        <f>IFERROR(IF(ValbyACO_COM[[#This Row],[2021 Member Months (sum of ICC3 + 4)]]=0,"NA",ValbyACO_COM[[#This Row],[2022 Claims: Hospital Outpatient]]/ValbyACO_COM[[#This Row],[2021 Claims: Hospital Outpatient]]-1),"NA")</f>
        <v>NA</v>
      </c>
      <c r="AI15" s="162" t="str">
        <f>IFERROR(IF(ValbyACO_COM[[#This Row],[2021 Member Months (sum of ICC3 + 4)]]=0,"NA",ValbyACO_COM[[#This Row],[2022 Claims: Professional, Primary Care]]/ValbyACO_COM[[#This Row],[2021 Claims: Professional, Primary Care]]-1),"NA")</f>
        <v>NA</v>
      </c>
      <c r="AJ15" s="162" t="str">
        <f>IFERROR(IF(ValbyACO_COM[[#This Row],[2021 Member Months (sum of ICC3 + 4)]]=0,"NA",ValbyACO_COM[[#This Row],[2022 Claims: Professional, Specialty Care]]/ValbyACO_COM[[#This Row],[2021 Claims: Professional, Specialty Care]]-1),"NA")</f>
        <v>NA</v>
      </c>
      <c r="AK15" s="162" t="str">
        <f>IFERROR(IF(ValbyACO_COM[[#This Row],[2021 Member Months (sum of ICC3 + 4)]]=0,"NA", ValbyACO_COM[[#This Row],[2022 Claims: Professional Other]]/ValbyACO_COM[[#This Row],[2021 Claims: Professional Other]]-1),"NA")</f>
        <v>NA</v>
      </c>
      <c r="AL15" s="162" t="str">
        <f>IFERROR(IF(ValbyACO_COM[[#This Row],[2021 Member Months (sum of ICC3 + 4)]]=0,"NA",ValbyACO_COM[[#This Row],[2022 Claims: Pharmacy (Gross of Retail Pharmacy Rebates)]]/ValbyACO_COM[[#This Row],[2021 Claims: Pharmacy (Gross of  Rebates)]]-1),"NA")</f>
        <v>NA</v>
      </c>
      <c r="AM15" s="162" t="str">
        <f>IFERROR(IF(ValbyACO_COM[[#This Row],[2021 Member Months (sum of ICC3 + 4)]]=0,"NA",ValbyACO_COM[[#This Row],[2022 Claims: Long-term Care]]/ValbyACO_COM[[#This Row],[2021 Claims: Long-term Care]]-1),"NA")</f>
        <v>NA</v>
      </c>
      <c r="AN15" s="162" t="str">
        <f>IFERROR(IF(ValbyACO_COM[[#This Row],[2021 Member Months (sum of ICC3 + 4)]]=0,"NA",ValbyACO_COM[[#This Row],[2022 Claims: Other]]/ValbyACO_COM[[#This Row],[2021 Claims: Other]]-1),"NA")</f>
        <v>NA</v>
      </c>
      <c r="AO15" s="163" t="str">
        <f>IFERROR(IF(ValbyACO_COM[[#This Row],[2021 Member Months (sum of ICC3 + 4)]]=0,"NA",ValbyACO_COM[[#This Row],[2022 TOTAL Non-Truncated Claims Expenses]]/ValbyACO_COM[[#This Row],[2021 TOTAL Non-Truncated Claims Expenses]]-1),"NA")</f>
        <v>NA</v>
      </c>
      <c r="AP15" s="163" t="str">
        <f>IFERROR(IF(ValbyACO_COM[[#This Row],[2021 Member Months (sum of ICC3 + 4)]]=0,"NA",ValbyACO_COM[[#This Row],[2022 TOTAL Truncated Claims Expenses]]/ValbyACO_COM[[#This Row],[2021 TOTAL Truncated Claims Expenses]]-1),"NA")</f>
        <v>NA</v>
      </c>
      <c r="AQ15" s="163" t="str">
        <f>IFERROR(IF(ValbyACO_COM[[#This Row],[2021 Member Months (sum of ICC3 + 4)]]=0,"NA",ValbyACO_COM[[#This Row],[2022 TOTAL Non-Claims Expenses]]/ValbyACO_COM[[#This Row],[2021 TOTAL Non-Claims Expenses]]-1),"NA")</f>
        <v>NA</v>
      </c>
      <c r="AR15" s="163" t="str">
        <f>IFERROR(IF(ValbyACO_COM[[#This Row],[2021 Member Months (sum of ICC3 + 4)]]=0,"NA",ValbyACO_COM[[#This Row],[2022 TOTAL Non-Truncated Total Expenses]]/ValbyACO_COM[[#This Row],[2021 TOTAL Non-Truncated Total Expenses]]-1),"NA")</f>
        <v>NA</v>
      </c>
      <c r="AS15" s="163" t="str">
        <f>IFERROR(IF(ValbyACO_COM[[#This Row],[2021 Member Months (sum of ICC3 + 4)]]=0,"NA",ValbyACO_COM[[#This Row],[2022 TOTAL Truncated Total Expenses]]/ValbyACO_COM[[#This Row],[2021 TOTAL Truncated Total Expenses]]-1),"NA")</f>
        <v>NA</v>
      </c>
    </row>
    <row r="16" spans="2:45" x14ac:dyDescent="0.35">
      <c r="B16" s="250">
        <v>999</v>
      </c>
      <c r="C16" s="131" t="s">
        <v>172</v>
      </c>
      <c r="D16" s="192">
        <f t="shared" si="0"/>
        <v>0</v>
      </c>
      <c r="E16" s="268" t="str">
        <f>IF(ValbyACO_COM[[#This Row],[2021 Member Months (sum of ICC3 + 4)]]=0,"NA",(SUMPRODUCT(E30,D30)+SUMPRODUCT(E44,D44))/ValbyACO_COM[[#This Row],[2021 Member Months (sum of ICC3 + 4)]])</f>
        <v>NA</v>
      </c>
      <c r="F16" s="268" t="str">
        <f>IF(ValbyACO_COM[[#This Row],[2021 Member Months (sum of ICC3 + 4)]]=0,"NA",(SUMPRODUCT(F30,D30)+SUMPRODUCT(F44,D44))/ValbyACO_COM[[#This Row],[2021 Member Months (sum of ICC3 + 4)]])</f>
        <v>NA</v>
      </c>
      <c r="G16" s="268" t="str">
        <f>IF(ValbyACO_COM[[#This Row],[2021 Member Months (sum of ICC3 + 4)]]=0,"NA",(SUMPRODUCT(G30,D30)+SUMPRODUCT(G44,D44))/ValbyACO_COM[[#This Row],[2021 Member Months (sum of ICC3 + 4)]])</f>
        <v>NA</v>
      </c>
      <c r="H16" s="268" t="str">
        <f>IF(ValbyACO_COM[[#This Row],[2021 Member Months (sum of ICC3 + 4)]]=0,"NA",(SUMPRODUCT(H30,D30)+SUMPRODUCT(H44,D44))/ValbyACO_COM[[#This Row],[2021 Member Months (sum of ICC3 + 4)]])</f>
        <v>NA</v>
      </c>
      <c r="I16" s="268" t="str">
        <f>IF(ValbyACO_COM[[#This Row],[2021 Member Months (sum of ICC3 + 4)]]=0,"NA",(SUMPRODUCT(I30,D30)+SUMPRODUCT(I44,D44))/ValbyACO_COM[[#This Row],[2021 Member Months (sum of ICC3 + 4)]])</f>
        <v>NA</v>
      </c>
      <c r="J16" s="268" t="str">
        <f>IF(ValbyACO_COM[[#This Row],[2021 Member Months (sum of ICC3 + 4)]]=0,"NA",(SUMPRODUCT(J30,D30)+SUMPRODUCT(J44,D44))/ValbyACO_COM[[#This Row],[2021 Member Months (sum of ICC3 + 4)]])</f>
        <v>NA</v>
      </c>
      <c r="K16" s="268" t="str">
        <f>IF(ValbyACO_COM[[#This Row],[2021 Member Months (sum of ICC3 + 4)]]=0,"NA",(SUMPRODUCT(K30,D30)+SUMPRODUCT(K44,D44))/ValbyACO_COM[[#This Row],[2021 Member Months (sum of ICC3 + 4)]])</f>
        <v>NA</v>
      </c>
      <c r="L16" s="268" t="str">
        <f>IF(ValbyACO_COM[[#This Row],[2021 Member Months (sum of ICC3 + 4)]]=0,"NA",(SUMPRODUCT(L30,D30)+SUMPRODUCT(L44,D44))/ValbyACO_COM[[#This Row],[2021 Member Months (sum of ICC3 + 4)]])</f>
        <v>NA</v>
      </c>
      <c r="M16" s="118" t="str">
        <f>IF(ValbyACO_COM[[#This Row],[2021 Member Months (sum of ICC3 + 4)]]=0,"NA",(SUMPRODUCT(M30,D30)+SUMPRODUCT(M44,D44))/ValbyACO_COM[[#This Row],[2021 Member Months (sum of ICC3 + 4)]])</f>
        <v>NA</v>
      </c>
      <c r="N16" s="118" t="str">
        <f>IF(ValbyACO_COM[[#This Row],[2021 Member Months (sum of ICC3 + 4)]]=0,"NA",(SUMPRODUCT(N30,D30)+SUMPRODUCT(N44,D44))/ValbyACO_COM[[#This Row],[2021 Member Months (sum of ICC3 + 4)]])</f>
        <v>NA</v>
      </c>
      <c r="O16" s="118" t="str">
        <f>IF(ValbyACO_COM[[#This Row],[2021 Member Months (sum of ICC3 + 4)]]=0,"NA",(SUMPRODUCT(O30,D30)+SUMPRODUCT(O44,D44))/ValbyACO_COM[[#This Row],[2021 Member Months (sum of ICC3 + 4)]])</f>
        <v>NA</v>
      </c>
      <c r="P16" s="118" t="str">
        <f>IF(ValbyACO_COM[[#This Row],[2021 Member Months (sum of ICC3 + 4)]]=0,"NA",(SUMPRODUCT(P30,D30)+SUMPRODUCT(P44,D44))/ValbyACO_COM[[#This Row],[2021 Member Months (sum of ICC3 + 4)]])</f>
        <v>NA</v>
      </c>
      <c r="Q16" s="119" t="str">
        <f>IF(ValbyACO_COM[[#This Row],[2021 Member Months (sum of ICC3 + 4)]]=0,"NA",(SUMPRODUCT(Q30,D30)+SUMPRODUCT(Q44,D44))/ValbyACO_COM[[#This Row],[2021 Member Months (sum of ICC3 + 4)]])</f>
        <v>NA</v>
      </c>
      <c r="R16" s="192">
        <f t="shared" si="1"/>
        <v>0</v>
      </c>
      <c r="S16" s="118" t="str">
        <f>IF(ValbyACO_COM[[#This Row],[2022 Member Months (sum of ICC3 + 4)]]=0,"NA",(SUMPRODUCT(S30,R30)+SUMPRODUCT(S44,R44))/ValbyACO_COM[[#This Row],[2022 Member Months (sum of ICC3 + 4)]])</f>
        <v>NA</v>
      </c>
      <c r="T16" s="118" t="str">
        <f>IF(ValbyACO_COM[[#This Row],[2022 Member Months (sum of ICC3 + 4)]]=0,"NA",(SUMPRODUCT(T30,R30)+SUMPRODUCT(T44,R44))/ValbyACO_COM[[#This Row],[2022 Member Months (sum of ICC3 + 4)]])</f>
        <v>NA</v>
      </c>
      <c r="U16" s="118" t="str">
        <f>IF(ValbyACO_COM[[#This Row],[2022 Member Months (sum of ICC3 + 4)]]=0,"NA",(SUMPRODUCT(U30,R30)+SUMPRODUCT(U44,R44))/ValbyACO_COM[[#This Row],[2022 Member Months (sum of ICC3 + 4)]])</f>
        <v>NA</v>
      </c>
      <c r="V16" s="118" t="str">
        <f>IF(ValbyACO_COM[[#This Row],[2022 Member Months (sum of ICC3 + 4)]]=0,"NA",(SUMPRODUCT(V30,R30)+SUMPRODUCT(V44,R44))/ValbyACO_COM[[#This Row],[2022 Member Months (sum of ICC3 + 4)]])</f>
        <v>NA</v>
      </c>
      <c r="W16" s="118" t="str">
        <f>IF(ValbyACO_COM[[#This Row],[2022 Member Months (sum of ICC3 + 4)]]=0,"NA",(SUMPRODUCT(W30,R30)+SUMPRODUCT(W44,R44))/ValbyACO_COM[[#This Row],[2022 Member Months (sum of ICC3 + 4)]])</f>
        <v>NA</v>
      </c>
      <c r="X16" s="118" t="str">
        <f>IF(ValbyACO_COM[[#This Row],[2022 Member Months (sum of ICC3 + 4)]]=0,"NA",(SUMPRODUCT(X30,R30)+SUMPRODUCT(X44,R44))/ValbyACO_COM[[#This Row],[2022 Member Months (sum of ICC3 + 4)]])</f>
        <v>NA</v>
      </c>
      <c r="Y16" s="118" t="str">
        <f>IF(ValbyACO_COM[[#This Row],[2022 Member Months (sum of ICC3 + 4)]]=0,"NA",(SUMPRODUCT(Y30,R30)+SUMPRODUCT(Y44,R44))/ValbyACO_COM[[#This Row],[2022 Member Months (sum of ICC3 + 4)]])</f>
        <v>NA</v>
      </c>
      <c r="Z16" s="118" t="str">
        <f>IF(ValbyACO_COM[[#This Row],[2022 Member Months (sum of ICC3 + 4)]]=0,"NA",(SUMPRODUCT(Z30,R30)+SUMPRODUCT(Z44,R44))/ValbyACO_COM[[#This Row],[2022 Member Months (sum of ICC3 + 4)]])</f>
        <v>NA</v>
      </c>
      <c r="AA16" s="118" t="str">
        <f>IF(ValbyACO_COM[[#This Row],[2022 Member Months (sum of ICC3 + 4)]]=0,"NA",(SUMPRODUCT(AA30,R30)+SUMPRODUCT(AA44,R44))/ValbyACO_COM[[#This Row],[2022 Member Months (sum of ICC3 + 4)]])</f>
        <v>NA</v>
      </c>
      <c r="AB16" s="118" t="str">
        <f>IF(ValbyACO_COM[[#This Row],[2022 Member Months (sum of ICC3 + 4)]]=0,"NA",(SUMPRODUCT(AB30,R30)+SUMPRODUCT(AB44,R44))/ValbyACO_COM[[#This Row],[2022 Member Months (sum of ICC3 + 4)]])</f>
        <v>NA</v>
      </c>
      <c r="AC16" s="118" t="str">
        <f>IF(ValbyACO_COM[[#This Row],[2022 Member Months (sum of ICC3 + 4)]]=0,"NA",(SUMPRODUCT(AC30,R30)+SUMPRODUCT(AC44,R44))/ValbyACO_COM[[#This Row],[2022 Member Months (sum of ICC3 + 4)]])</f>
        <v>NA</v>
      </c>
      <c r="AD16" s="118" t="str">
        <f>IF(ValbyACO_COM[[#This Row],[2022 Member Months (sum of ICC3 + 4)]]=0,"NA",(SUMPRODUCT(AD30,R30)+SUMPRODUCT(AD44,R44))/ValbyACO_COM[[#This Row],[2022 Member Months (sum of ICC3 + 4)]])</f>
        <v>NA</v>
      </c>
      <c r="AE16" s="119" t="str">
        <f>IF(ValbyACO_COM[[#This Row],[2022 Member Months (sum of ICC3 + 4)]]=0,"NA",(SUMPRODUCT(AE30,R30)+SUMPRODUCT(AE44,R44))/ValbyACO_COM[[#This Row],[2022 Member Months (sum of ICC3 + 4)]])</f>
        <v>NA</v>
      </c>
      <c r="AF16" s="160" t="str">
        <f>IFERROR(IF(ValbyACO_COM[[#This Row],[2021 Member Months (sum of ICC3 + 4)]]=0,"NA",ValbyACO_COM[[#This Row],[2022 Member Months (sum of ICC3 + 4)]]/ValbyACO_COM[[#This Row],[2021 Member Months (sum of ICC3 + 4)]]-1),"NA")</f>
        <v>NA</v>
      </c>
      <c r="AG16" s="161" t="str">
        <f>IFERROR(IF(ValbyACO_COM[[#This Row],[2021 Member Months (sum of ICC3 + 4)]]=0,"NA",ValbyACO_COM[[#This Row],[2022 Claims: Hospital Inpatient]]/ValbyACO_COM[[#This Row],[2021 Claims: Hospital Inpatient]]-1),"NA")</f>
        <v>NA</v>
      </c>
      <c r="AH16" s="162" t="str">
        <f>IFERROR(IF(ValbyACO_COM[[#This Row],[2021 Member Months (sum of ICC3 + 4)]]=0,"NA",ValbyACO_COM[[#This Row],[2022 Claims: Hospital Outpatient]]/ValbyACO_COM[[#This Row],[2021 Claims: Hospital Outpatient]]-1),"NA")</f>
        <v>NA</v>
      </c>
      <c r="AI16" s="162" t="str">
        <f>IFERROR(IF(ValbyACO_COM[[#This Row],[2021 Member Months (sum of ICC3 + 4)]]=0,"NA",ValbyACO_COM[[#This Row],[2022 Claims: Professional, Primary Care]]/ValbyACO_COM[[#This Row],[2021 Claims: Professional, Primary Care]]-1),"NA")</f>
        <v>NA</v>
      </c>
      <c r="AJ16" s="162" t="str">
        <f>IFERROR(IF(ValbyACO_COM[[#This Row],[2021 Member Months (sum of ICC3 + 4)]]=0,"NA",ValbyACO_COM[[#This Row],[2022 Claims: Professional, Specialty Care]]/ValbyACO_COM[[#This Row],[2021 Claims: Professional, Specialty Care]]-1),"NA")</f>
        <v>NA</v>
      </c>
      <c r="AK16" s="162" t="str">
        <f>IFERROR(IF(ValbyACO_COM[[#This Row],[2021 Member Months (sum of ICC3 + 4)]]=0,"NA", ValbyACO_COM[[#This Row],[2022 Claims: Professional Other]]/ValbyACO_COM[[#This Row],[2021 Claims: Professional Other]]-1),"NA")</f>
        <v>NA</v>
      </c>
      <c r="AL16" s="162" t="str">
        <f>IFERROR(IF(ValbyACO_COM[[#This Row],[2021 Member Months (sum of ICC3 + 4)]]=0,"NA",ValbyACO_COM[[#This Row],[2022 Claims: Pharmacy (Gross of Retail Pharmacy Rebates)]]/ValbyACO_COM[[#This Row],[2021 Claims: Pharmacy (Gross of  Rebates)]]-1),"NA")</f>
        <v>NA</v>
      </c>
      <c r="AM16" s="162" t="str">
        <f>IFERROR(IF(ValbyACO_COM[[#This Row],[2021 Member Months (sum of ICC3 + 4)]]=0,"NA",ValbyACO_COM[[#This Row],[2022 Claims: Long-term Care]]/ValbyACO_COM[[#This Row],[2021 Claims: Long-term Care]]-1),"NA")</f>
        <v>NA</v>
      </c>
      <c r="AN16" s="162" t="str">
        <f>IFERROR(IF(ValbyACO_COM[[#This Row],[2021 Member Months (sum of ICC3 + 4)]]=0,"NA",ValbyACO_COM[[#This Row],[2022 Claims: Other]]/ValbyACO_COM[[#This Row],[2021 Claims: Other]]-1),"NA")</f>
        <v>NA</v>
      </c>
      <c r="AO16" s="163" t="str">
        <f>IFERROR(IF(ValbyACO_COM[[#This Row],[2021 Member Months (sum of ICC3 + 4)]]=0,"NA",ValbyACO_COM[[#This Row],[2022 TOTAL Non-Truncated Claims Expenses]]/ValbyACO_COM[[#This Row],[2021 TOTAL Non-Truncated Claims Expenses]]-1),"NA")</f>
        <v>NA</v>
      </c>
      <c r="AP16" s="163" t="str">
        <f>IFERROR(IF(ValbyACO_COM[[#This Row],[2021 Member Months (sum of ICC3 + 4)]]=0,"NA",ValbyACO_COM[[#This Row],[2022 TOTAL Truncated Claims Expenses]]/ValbyACO_COM[[#This Row],[2021 TOTAL Truncated Claims Expenses]]-1),"NA")</f>
        <v>NA</v>
      </c>
      <c r="AQ16" s="163" t="str">
        <f>IFERROR(IF(ValbyACO_COM[[#This Row],[2021 Member Months (sum of ICC3 + 4)]]=0,"NA",ValbyACO_COM[[#This Row],[2022 TOTAL Non-Claims Expenses]]/ValbyACO_COM[[#This Row],[2021 TOTAL Non-Claims Expenses]]-1),"NA")</f>
        <v>NA</v>
      </c>
      <c r="AR16" s="163" t="str">
        <f>IFERROR(IF(ValbyACO_COM[[#This Row],[2021 Member Months (sum of ICC3 + 4)]]=0,"NA",ValbyACO_COM[[#This Row],[2022 TOTAL Non-Truncated Total Expenses]]/ValbyACO_COM[[#This Row],[2021 TOTAL Non-Truncated Total Expenses]]-1),"NA")</f>
        <v>NA</v>
      </c>
      <c r="AS16" s="163" t="str">
        <f>IFERROR(IF(ValbyACO_COM[[#This Row],[2021 Member Months (sum of ICC3 + 4)]]=0,"NA",ValbyACO_COM[[#This Row],[2022 TOTAL Truncated Total Expenses]]/ValbyACO_COM[[#This Row],[2021 TOTAL Truncated Total Expenses]]-1),"NA")</f>
        <v>NA</v>
      </c>
    </row>
    <row r="17" spans="1:45" x14ac:dyDescent="0.35">
      <c r="B17" s="251"/>
      <c r="C17" s="132" t="s">
        <v>118</v>
      </c>
      <c r="D17" s="193">
        <f>SUM(D8:D16)</f>
        <v>0</v>
      </c>
      <c r="E17" s="269" t="str">
        <f>IF(ValbyACO_COM[[#This Row],[2021 Member Months (sum of ICC3 + 4)]]=0,"NA",(SUMPRODUCT(E31,D31)+SUMPRODUCT(E45,D45))/ValbyACO_COM[[#This Row],[2021 Member Months (sum of ICC3 + 4)]])</f>
        <v>NA</v>
      </c>
      <c r="F17" s="315" t="str">
        <f>IF(ValbyACO_COM[[#This Row],[2021 Member Months (sum of ICC3 + 4)]]=0,"NA",(SUMPRODUCT(F31,D31)+SUMPRODUCT(F45,D45))/ValbyACO_COM[[#This Row],[2021 Member Months (sum of ICC3 + 4)]])</f>
        <v>NA</v>
      </c>
      <c r="G17" s="315" t="str">
        <f>IF(ValbyACO_COM[[#This Row],[2021 Member Months (sum of ICC3 + 4)]]=0,"NA",(SUMPRODUCT(G31,D31)+SUMPRODUCT(G45,D45))/ValbyACO_COM[[#This Row],[2021 Member Months (sum of ICC3 + 4)]])</f>
        <v>NA</v>
      </c>
      <c r="H17" s="315" t="str">
        <f>IF(ValbyACO_COM[[#This Row],[2021 Member Months (sum of ICC3 + 4)]]=0,"NA",(SUMPRODUCT(H31,D31)+SUMPRODUCT(H45,D45))/ValbyACO_COM[[#This Row],[2021 Member Months (sum of ICC3 + 4)]])</f>
        <v>NA</v>
      </c>
      <c r="I17" s="315" t="str">
        <f>IF(ValbyACO_COM[[#This Row],[2021 Member Months (sum of ICC3 + 4)]]=0,"NA",(SUMPRODUCT(I31,D31)+SUMPRODUCT(I45,D45))/ValbyACO_COM[[#This Row],[2021 Member Months (sum of ICC3 + 4)]])</f>
        <v>NA</v>
      </c>
      <c r="J17" s="315" t="str">
        <f>IF(ValbyACO_COM[[#This Row],[2021 Member Months (sum of ICC3 + 4)]]=0,"NA",(SUMPRODUCT(J31,D31)+SUMPRODUCT(J45,D45))/ValbyACO_COM[[#This Row],[2021 Member Months (sum of ICC3 + 4)]])</f>
        <v>NA</v>
      </c>
      <c r="K17" s="315" t="str">
        <f>IF(ValbyACO_COM[[#This Row],[2021 Member Months (sum of ICC3 + 4)]]=0,"NA",(SUMPRODUCT(K31,D31)+SUMPRODUCT(K45,D45))/ValbyACO_COM[[#This Row],[2021 Member Months (sum of ICC3 + 4)]])</f>
        <v>NA</v>
      </c>
      <c r="L17" s="315" t="str">
        <f>IF(ValbyACO_COM[[#This Row],[2021 Member Months (sum of ICC3 + 4)]]=0,"NA",(SUMPRODUCT(L31,D31)+SUMPRODUCT(L45,D45))/ValbyACO_COM[[#This Row],[2021 Member Months (sum of ICC3 + 4)]])</f>
        <v>NA</v>
      </c>
      <c r="M17" s="124" t="str">
        <f>IF(ValbyACO_COM[[#This Row],[2021 Member Months (sum of ICC3 + 4)]]=0,"NA",(SUMPRODUCT(M31,D31)+SUMPRODUCT(M45,D45))/ValbyACO_COM[[#This Row],[2021 Member Months (sum of ICC3 + 4)]])</f>
        <v>NA</v>
      </c>
      <c r="N17" s="124" t="str">
        <f>IF(ValbyACO_COM[[#This Row],[2021 Member Months (sum of ICC3 + 4)]]=0,"NA",(SUMPRODUCT(N31,D31)+SUMPRODUCT(N45,D45))/ValbyACO_COM[[#This Row],[2021 Member Months (sum of ICC3 + 4)]])</f>
        <v>NA</v>
      </c>
      <c r="O17" s="124" t="str">
        <f>IF(ValbyACO_COM[[#This Row],[2021 Member Months (sum of ICC3 + 4)]]=0,"NA",(SUMPRODUCT(O31,D31)+SUMPRODUCT(O45,D45))/ValbyACO_COM[[#This Row],[2021 Member Months (sum of ICC3 + 4)]])</f>
        <v>NA</v>
      </c>
      <c r="P17" s="124" t="str">
        <f>IF(ValbyACO_COM[[#This Row],[2021 Member Months (sum of ICC3 + 4)]]=0,"NA",(SUMPRODUCT(P31,D31)+SUMPRODUCT(P45,D45))/ValbyACO_COM[[#This Row],[2021 Member Months (sum of ICC3 + 4)]])</f>
        <v>NA</v>
      </c>
      <c r="Q17" s="125" t="str">
        <f>IF(ValbyACO_COM[[#This Row],[2021 Member Months (sum of ICC3 + 4)]]=0,"NA",(SUMPRODUCT(Q31,D31)+SUMPRODUCT(Q45,D45))/ValbyACO_COM[[#This Row],[2021 Member Months (sum of ICC3 + 4)]])</f>
        <v>NA</v>
      </c>
      <c r="R17" s="193">
        <f>SUM(R8:R16)</f>
        <v>0</v>
      </c>
      <c r="S17" s="123" t="str">
        <f>IF(ValbyACO_COM[[#This Row],[2022 Member Months (sum of ICC3 + 4)]]=0,"NA",(SUMPRODUCT(S31,R31)+SUMPRODUCT(S45,R45))/ValbyACO_COM[[#This Row],[2022 Member Months (sum of ICC3 + 4)]])</f>
        <v>NA</v>
      </c>
      <c r="T17" s="123" t="str">
        <f>IF(ValbyACO_COM[[#This Row],[2022 Member Months (sum of ICC3 + 4)]]=0,"NA",(SUMPRODUCT(T31,R31)+SUMPRODUCT(T45,R45))/ValbyACO_COM[[#This Row],[2022 Member Months (sum of ICC3 + 4)]])</f>
        <v>NA</v>
      </c>
      <c r="U17" s="123" t="str">
        <f>IF(ValbyACO_COM[[#This Row],[2022 Member Months (sum of ICC3 + 4)]]=0,"NA",(SUMPRODUCT(U31,R31)+SUMPRODUCT(U45,R45))/ValbyACO_COM[[#This Row],[2022 Member Months (sum of ICC3 + 4)]])</f>
        <v>NA</v>
      </c>
      <c r="V17" s="123" t="str">
        <f>IF(ValbyACO_COM[[#This Row],[2022 Member Months (sum of ICC3 + 4)]]=0,"NA",(SUMPRODUCT(V31,R31)+SUMPRODUCT(V45,R45))/ValbyACO_COM[[#This Row],[2022 Member Months (sum of ICC3 + 4)]])</f>
        <v>NA</v>
      </c>
      <c r="W17" s="123" t="str">
        <f>IF(ValbyACO_COM[[#This Row],[2022 Member Months (sum of ICC3 + 4)]]=0,"NA",(SUMPRODUCT(W31,R31)+SUMPRODUCT(W45,R45))/ValbyACO_COM[[#This Row],[2022 Member Months (sum of ICC3 + 4)]])</f>
        <v>NA</v>
      </c>
      <c r="X17" s="123" t="str">
        <f>IF(ValbyACO_COM[[#This Row],[2022 Member Months (sum of ICC3 + 4)]]=0,"NA",(SUMPRODUCT(X31,R31)+SUMPRODUCT(X45,R45))/ValbyACO_COM[[#This Row],[2022 Member Months (sum of ICC3 + 4)]])</f>
        <v>NA</v>
      </c>
      <c r="Y17" s="123" t="str">
        <f>IF(ValbyACO_COM[[#This Row],[2022 Member Months (sum of ICC3 + 4)]]=0,"NA",(SUMPRODUCT(Y31,R31)+SUMPRODUCT(Y45,R45))/ValbyACO_COM[[#This Row],[2022 Member Months (sum of ICC3 + 4)]])</f>
        <v>NA</v>
      </c>
      <c r="Z17" s="123" t="str">
        <f>IF(ValbyACO_COM[[#This Row],[2022 Member Months (sum of ICC3 + 4)]]=0,"NA",(SUMPRODUCT(Z31,R31)+SUMPRODUCT(Z45,R45))/ValbyACO_COM[[#This Row],[2022 Member Months (sum of ICC3 + 4)]])</f>
        <v>NA</v>
      </c>
      <c r="AA17" s="123" t="str">
        <f>IF(ValbyACO_COM[[#This Row],[2022 Member Months (sum of ICC3 + 4)]]=0,"NA",(SUMPRODUCT(AA31,R31)+SUMPRODUCT(AA45,R45))/ValbyACO_COM[[#This Row],[2022 Member Months (sum of ICC3 + 4)]])</f>
        <v>NA</v>
      </c>
      <c r="AB17" s="123" t="str">
        <f>IF(ValbyACO_COM[[#This Row],[2022 Member Months (sum of ICC3 + 4)]]=0,"NA",(SUMPRODUCT(AB31,R31)+SUMPRODUCT(AB45,R45))/ValbyACO_COM[[#This Row],[2022 Member Months (sum of ICC3 + 4)]])</f>
        <v>NA</v>
      </c>
      <c r="AC17" s="123" t="str">
        <f>IF(ValbyACO_COM[[#This Row],[2022 Member Months (sum of ICC3 + 4)]]=0,"NA",(SUMPRODUCT(AC31,R31)+SUMPRODUCT(AC45,R45))/ValbyACO_COM[[#This Row],[2022 Member Months (sum of ICC3 + 4)]])</f>
        <v>NA</v>
      </c>
      <c r="AD17" s="123" t="str">
        <f>IF(ValbyACO_COM[[#This Row],[2022 Member Months (sum of ICC3 + 4)]]=0,"NA",(SUMPRODUCT(AD31,R31)+SUMPRODUCT(AD45,R45))/ValbyACO_COM[[#This Row],[2022 Member Months (sum of ICC3 + 4)]])</f>
        <v>NA</v>
      </c>
      <c r="AE17" s="125" t="str">
        <f>IF(ValbyACO_COM[[#This Row],[2022 Member Months (sum of ICC3 + 4)]]=0,"NA",(SUMPRODUCT(AE31,R31)+SUMPRODUCT(AE45,R45))/ValbyACO_COM[[#This Row],[2022 Member Months (sum of ICC3 + 4)]])</f>
        <v>NA</v>
      </c>
      <c r="AF17" s="165" t="str">
        <f>IFERROR(IF(ValbyACO_COM[[#This Row],[2021 Member Months (sum of ICC3 + 4)]]=0,"NA",ValbyACO_COM[[#This Row],[2022 Member Months (sum of ICC3 + 4)]]/ValbyACO_COM[[#This Row],[2021 Member Months (sum of ICC3 + 4)]]-1),"NA")</f>
        <v>NA</v>
      </c>
      <c r="AG17" s="161" t="str">
        <f>IFERROR(IF(ValbyACO_COM[[#This Row],[2021 Member Months (sum of ICC3 + 4)]]=0,"NA",ValbyACO_COM[[#This Row],[2022 Claims: Hospital Inpatient]]/ValbyACO_COM[[#This Row],[2021 Claims: Hospital Inpatient]]-1),"NA")</f>
        <v>NA</v>
      </c>
      <c r="AH17" s="162" t="str">
        <f>IFERROR(IF(ValbyACO_COM[[#This Row],[2021 Member Months (sum of ICC3 + 4)]]=0,"NA",ValbyACO_COM[[#This Row],[2022 Claims: Hospital Outpatient]]/ValbyACO_COM[[#This Row],[2021 Claims: Hospital Outpatient]]-1),"NA")</f>
        <v>NA</v>
      </c>
      <c r="AI17" s="162" t="str">
        <f>IFERROR(IF(ValbyACO_COM[[#This Row],[2021 Member Months (sum of ICC3 + 4)]]=0,"NA",ValbyACO_COM[[#This Row],[2022 Claims: Professional, Primary Care]]/ValbyACO_COM[[#This Row],[2021 Claims: Professional, Primary Care]]-1),"NA")</f>
        <v>NA</v>
      </c>
      <c r="AJ17" s="162" t="str">
        <f>IFERROR(IF(ValbyACO_COM[[#This Row],[2021 Member Months (sum of ICC3 + 4)]]=0,"NA",ValbyACO_COM[[#This Row],[2022 Claims: Professional, Specialty Care]]/ValbyACO_COM[[#This Row],[2021 Claims: Professional, Specialty Care]]-1),"NA")</f>
        <v>NA</v>
      </c>
      <c r="AK17" s="162" t="str">
        <f>IFERROR(IF(ValbyACO_COM[[#This Row],[2021 Member Months (sum of ICC3 + 4)]]=0,"NA", ValbyACO_COM[[#This Row],[2022 Claims: Professional Other]]/ValbyACO_COM[[#This Row],[2021 Claims: Professional Other]]-1),"NA")</f>
        <v>NA</v>
      </c>
      <c r="AL17" s="162" t="str">
        <f>IFERROR(IF(ValbyACO_COM[[#This Row],[2021 Member Months (sum of ICC3 + 4)]]=0,"NA",ValbyACO_COM[[#This Row],[2022 Claims: Pharmacy (Gross of Retail Pharmacy Rebates)]]/ValbyACO_COM[[#This Row],[2021 Claims: Pharmacy (Gross of  Rebates)]]-1),"NA")</f>
        <v>NA</v>
      </c>
      <c r="AM17" s="162" t="str">
        <f>IFERROR(IF(ValbyACO_COM[[#This Row],[2021 Member Months (sum of ICC3 + 4)]]=0,"NA",ValbyACO_COM[[#This Row],[2022 Claims: Long-term Care]]/ValbyACO_COM[[#This Row],[2021 Claims: Long-term Care]]-1),"NA")</f>
        <v>NA</v>
      </c>
      <c r="AN17" s="162" t="str">
        <f>IFERROR(IF(ValbyACO_COM[[#This Row],[2021 Member Months (sum of ICC3 + 4)]]=0,"NA",ValbyACO_COM[[#This Row],[2022 Claims: Other]]/ValbyACO_COM[[#This Row],[2021 Claims: Other]]-1),"NA")</f>
        <v>NA</v>
      </c>
      <c r="AO17" s="163" t="str">
        <f>IFERROR(IF(ValbyACO_COM[[#This Row],[2021 Member Months (sum of ICC3 + 4)]]=0,"NA",ValbyACO_COM[[#This Row],[2022 TOTAL Non-Truncated Claims Expenses]]/ValbyACO_COM[[#This Row],[2021 TOTAL Non-Truncated Claims Expenses]]-1),"NA")</f>
        <v>NA</v>
      </c>
      <c r="AP17" s="163" t="str">
        <f>IFERROR(IF(ValbyACO_COM[[#This Row],[2021 Member Months (sum of ICC3 + 4)]]=0,"NA",ValbyACO_COM[[#This Row],[2022 TOTAL Truncated Claims Expenses]]/ValbyACO_COM[[#This Row],[2021 TOTAL Truncated Claims Expenses]]-1),"NA")</f>
        <v>NA</v>
      </c>
      <c r="AQ17" s="163" t="str">
        <f>IFERROR(IF(ValbyACO_COM[[#This Row],[2021 Member Months (sum of ICC3 + 4)]]=0,"NA",ValbyACO_COM[[#This Row],[2022 TOTAL Non-Claims Expenses]]/ValbyACO_COM[[#This Row],[2021 TOTAL Non-Claims Expenses]]-1),"NA")</f>
        <v>NA</v>
      </c>
      <c r="AR17" s="163" t="str">
        <f>IFERROR(IF(ValbyACO_COM[[#This Row],[2021 Member Months (sum of ICC3 + 4)]]=0,"NA",ValbyACO_COM[[#This Row],[2022 TOTAL Non-Truncated Total Expenses]]/ValbyACO_COM[[#This Row],[2021 TOTAL Non-Truncated Total Expenses]]-1),"NA")</f>
        <v>NA</v>
      </c>
      <c r="AS17" s="163" t="str">
        <f>IFERROR(IF(ValbyACO_COM[[#This Row],[2021 Member Months (sum of ICC3 + 4)]]=0,"NA",ValbyACO_COM[[#This Row],[2022 TOTAL Truncated Total Expenses]]/ValbyACO_COM[[#This Row],[2021 TOTAL Truncated Total Expenses]]-1),"NA")</f>
        <v>NA</v>
      </c>
    </row>
    <row r="18" spans="1:45" x14ac:dyDescent="0.35">
      <c r="B18" s="255"/>
      <c r="C18" s="256" t="s">
        <v>119</v>
      </c>
      <c r="D18" s="193">
        <f>D17</f>
        <v>0</v>
      </c>
      <c r="E18" s="330"/>
      <c r="F18" s="337"/>
      <c r="G18" s="337"/>
      <c r="H18" s="337"/>
      <c r="I18" s="337"/>
      <c r="J18" s="315" t="str">
        <f>IF(ValbyACO_COM[[#This Row],[2021 Member Months (sum of ICC3 + 4)]]=0,"NA",(SUMPRODUCT(J32,D32)+SUMPRODUCT(J46,D46))/ValbyACO_COM[[#This Row],[2021 Member Months (sum of ICC3 + 4)]])</f>
        <v>NA</v>
      </c>
      <c r="K18" s="337"/>
      <c r="L18" s="337"/>
      <c r="M18" s="124" t="str">
        <f>IF(ValbyACO_COM[[#This Row],[2021 Member Months (sum of ICC3 + 4)]]=0,"NA",(SUMPRODUCT(M32,D32)+SUMPRODUCT(M46,D46))/ValbyACO_COM[[#This Row],[2021 Member Months (sum of ICC3 + 4)]])</f>
        <v>NA</v>
      </c>
      <c r="N18" s="124" t="str">
        <f>IF(ValbyACO_COM[[#This Row],[2021 Member Months (sum of ICC3 + 4)]]=0,"NA",(SUMPRODUCT(N32,D32)+SUMPRODUCT(N46,D46))/ValbyACO_COM[[#This Row],[2021 Member Months (sum of ICC3 + 4)]])</f>
        <v>NA</v>
      </c>
      <c r="O18" s="124" t="str">
        <f>IF(ValbyACO_COM[[#This Row],[2021 Member Months (sum of ICC3 + 4)]]=0,"NA",(SUMPRODUCT(O32,D32)+SUMPRODUCT(O46,D46))/ValbyACO_COM[[#This Row],[2021 Member Months (sum of ICC3 + 4)]])</f>
        <v>NA</v>
      </c>
      <c r="P18" s="124" t="str">
        <f>IF(ValbyACO_COM[[#This Row],[2021 Member Months (sum of ICC3 + 4)]]=0,"NA",(SUMPRODUCT(P32,D32)+SUMPRODUCT(P46,D46))/ValbyACO_COM[[#This Row],[2021 Member Months (sum of ICC3 + 4)]])</f>
        <v>NA</v>
      </c>
      <c r="Q18" s="125" t="str">
        <f>IF(ValbyACO_COM[[#This Row],[2021 Member Months (sum of ICC3 + 4)]]=0,"NA",(SUMPRODUCT(Q32,D32)+SUMPRODUCT(Q46,D46))/ValbyACO_COM[[#This Row],[2021 Member Months (sum of ICC3 + 4)]])</f>
        <v>NA</v>
      </c>
      <c r="R18" s="193">
        <f>R17</f>
        <v>0</v>
      </c>
      <c r="S18" s="331"/>
      <c r="T18" s="331"/>
      <c r="U18" s="331"/>
      <c r="V18" s="331"/>
      <c r="W18" s="331"/>
      <c r="X18" s="123" t="str">
        <f>IF(ValbyACO_COM[[#This Row],[2022 Member Months (sum of ICC3 + 4)]]=0,"NA",(SUMPRODUCT(X32,R32)+SUMPRODUCT(X46,R46))/ValbyACO_COM[[#This Row],[2022 Member Months (sum of ICC3 + 4)]])</f>
        <v>NA</v>
      </c>
      <c r="Y18" s="331"/>
      <c r="Z18" s="331"/>
      <c r="AA18" s="123" t="str">
        <f>IF(ValbyACO_COM[[#This Row],[2022 Member Months (sum of ICC3 + 4)]]=0,"NA",(SUMPRODUCT(AA32,R32)+SUMPRODUCT(AA46,R46))/ValbyACO_COM[[#This Row],[2022 Member Months (sum of ICC3 + 4)]])</f>
        <v>NA</v>
      </c>
      <c r="AB18" s="123" t="str">
        <f>IF(ValbyACO_COM[[#This Row],[2022 Member Months (sum of ICC3 + 4)]]=0,"NA",(SUMPRODUCT(AB32,R32)+SUMPRODUCT(AB46,R46))/ValbyACO_COM[[#This Row],[2022 Member Months (sum of ICC3 + 4)]])</f>
        <v>NA</v>
      </c>
      <c r="AC18" s="123" t="str">
        <f>IF(ValbyACO_COM[[#This Row],[2022 Member Months (sum of ICC3 + 4)]]=0,"NA",(SUMPRODUCT(AC32,R32)+SUMPRODUCT(AC46,R46))/ValbyACO_COM[[#This Row],[2022 Member Months (sum of ICC3 + 4)]])</f>
        <v>NA</v>
      </c>
      <c r="AD18" s="123" t="str">
        <f>IF(ValbyACO_COM[[#This Row],[2022 Member Months (sum of ICC3 + 4)]]=0,"NA",(SUMPRODUCT(AD32,R32)+SUMPRODUCT(AD46,R46))/ValbyACO_COM[[#This Row],[2022 Member Months (sum of ICC3 + 4)]])</f>
        <v>NA</v>
      </c>
      <c r="AE18" s="125" t="str">
        <f>IF(ValbyACO_COM[[#This Row],[2022 Member Months (sum of ICC3 + 4)]]=0,"NA",(SUMPRODUCT(AE32,R32)+SUMPRODUCT(AE46,R46))/ValbyACO_COM[[#This Row],[2022 Member Months (sum of ICC3 + 4)]])</f>
        <v>NA</v>
      </c>
      <c r="AF18" s="165" t="str">
        <f>IFERROR(IF(ValbyACO_COM[[#This Row],[2021 Member Months (sum of ICC3 + 4)]]=0,"NA",R18/ValbyACO_COM[[#This Row],[2021 Member Months (sum of ICC3 + 4)]]-1),"NA")</f>
        <v>NA</v>
      </c>
      <c r="AG18" s="333"/>
      <c r="AH18" s="332"/>
      <c r="AI18" s="332"/>
      <c r="AJ18" s="332"/>
      <c r="AK18" s="332"/>
      <c r="AL18" s="162" t="str">
        <f>IFERROR(IF(ValbyACO_COM[[#This Row],[2021 Member Months (sum of ICC3 + 4)]]=0,"NA",ValbyACO_COM[[#This Row],[2022 Claims: Pharmacy (Gross of Retail Pharmacy Rebates)]]/ValbyACO_COM[[#This Row],[2021 Claims: Pharmacy (Gross of  Rebates)]]-1),"NA")</f>
        <v>NA</v>
      </c>
      <c r="AM18" s="332"/>
      <c r="AN18" s="332"/>
      <c r="AO18" s="163" t="str">
        <f>IFERROR(IF(ValbyACO_COM[[#This Row],[2021 Member Months (sum of ICC3 + 4)]]=0,"NA",ValbyACO_COM[[#This Row],[2022 TOTAL Non-Truncated Claims Expenses]]/ValbyACO_COM[[#This Row],[2021 TOTAL Non-Truncated Claims Expenses]]-1),"NA")</f>
        <v>NA</v>
      </c>
      <c r="AP18" s="163" t="str">
        <f>IFERROR(IF(ValbyACO_COM[[#This Row],[2021 Member Months (sum of ICC3 + 4)]]=0,"NA",ValbyACO_COM[[#This Row],[2022 TOTAL Truncated Claims Expenses]]/ValbyACO_COM[[#This Row],[2021 TOTAL Truncated Claims Expenses]]-1),"NA")</f>
        <v>NA</v>
      </c>
      <c r="AQ18" s="163" t="str">
        <f>IFERROR(IF(ValbyACO_COM[[#This Row],[2021 Member Months (sum of ICC3 + 4)]]=0,"NA",ValbyACO_COM[[#This Row],[2022 TOTAL Non-Claims Expenses]]/ValbyACO_COM[[#This Row],[2021 TOTAL Non-Claims Expenses]]-1),"NA")</f>
        <v>NA</v>
      </c>
      <c r="AR18" s="163" t="str">
        <f>IFERROR(IF(ValbyACO_COM[[#This Row],[2021 Member Months (sum of ICC3 + 4)]]=0,"NA",ValbyACO_COM[[#This Row],[2022 TOTAL Non-Truncated Total Expenses]]/ValbyACO_COM[[#This Row],[2021 TOTAL Non-Truncated Total Expenses]]-1),"NA")</f>
        <v>NA</v>
      </c>
      <c r="AS18" s="163" t="str">
        <f>IFERROR(IF(ValbyACO_COM[[#This Row],[2021 Member Months (sum of ICC3 + 4)]]=0,"NA",ValbyACO_COM[[#This Row],[2022 TOTAL Truncated Total Expenses]]/ValbyACO_COM[[#This Row],[2021 TOTAL Truncated Total Expenses]]-1),"NA")</f>
        <v>NA</v>
      </c>
    </row>
    <row r="20" spans="1:45" ht="15.5" x14ac:dyDescent="0.35">
      <c r="B20" s="42" t="s">
        <v>149</v>
      </c>
      <c r="C20" s="42"/>
      <c r="E20" s="15">
        <v>3</v>
      </c>
    </row>
    <row r="21" spans="1:45" ht="43.5" x14ac:dyDescent="0.35">
      <c r="B21" s="263" t="s">
        <v>159</v>
      </c>
      <c r="C21" s="264" t="s">
        <v>542</v>
      </c>
      <c r="D21" s="263" t="s">
        <v>544</v>
      </c>
      <c r="E21" s="263" t="s">
        <v>545</v>
      </c>
      <c r="F21" s="265" t="s">
        <v>546</v>
      </c>
      <c r="G21" s="265" t="s">
        <v>547</v>
      </c>
      <c r="H21" s="265" t="s">
        <v>548</v>
      </c>
      <c r="I21" s="265" t="s">
        <v>549</v>
      </c>
      <c r="J21" s="265" t="s">
        <v>665</v>
      </c>
      <c r="K21" s="265" t="s">
        <v>550</v>
      </c>
      <c r="L21" s="265" t="s">
        <v>551</v>
      </c>
      <c r="M21" s="266" t="s">
        <v>552</v>
      </c>
      <c r="N21" s="266" t="s">
        <v>553</v>
      </c>
      <c r="O21" s="266" t="s">
        <v>554</v>
      </c>
      <c r="P21" s="266" t="s">
        <v>555</v>
      </c>
      <c r="Q21" s="266" t="s">
        <v>556</v>
      </c>
      <c r="R21" s="263" t="s">
        <v>662</v>
      </c>
      <c r="S21" s="263" t="s">
        <v>649</v>
      </c>
      <c r="T21" s="265" t="s">
        <v>650</v>
      </c>
      <c r="U21" s="265" t="s">
        <v>651</v>
      </c>
      <c r="V21" s="265" t="s">
        <v>652</v>
      </c>
      <c r="W21" s="265" t="s">
        <v>653</v>
      </c>
      <c r="X21" s="265" t="s">
        <v>654</v>
      </c>
      <c r="Y21" s="265" t="s">
        <v>655</v>
      </c>
      <c r="Z21" s="265" t="s">
        <v>656</v>
      </c>
      <c r="AA21" s="266" t="s">
        <v>657</v>
      </c>
      <c r="AB21" s="266" t="s">
        <v>658</v>
      </c>
      <c r="AC21" s="266" t="s">
        <v>659</v>
      </c>
      <c r="AD21" s="266" t="s">
        <v>660</v>
      </c>
      <c r="AE21" s="267" t="s">
        <v>661</v>
      </c>
      <c r="AF21" s="385" t="s">
        <v>557</v>
      </c>
      <c r="AG21" s="386" t="s">
        <v>558</v>
      </c>
      <c r="AH21" s="387" t="s">
        <v>559</v>
      </c>
      <c r="AI21" s="387" t="s">
        <v>560</v>
      </c>
      <c r="AJ21" s="387" t="s">
        <v>561</v>
      </c>
      <c r="AK21" s="387" t="s">
        <v>562</v>
      </c>
      <c r="AL21" s="387" t="s">
        <v>563</v>
      </c>
      <c r="AM21" s="387" t="s">
        <v>564</v>
      </c>
      <c r="AN21" s="387" t="s">
        <v>565</v>
      </c>
      <c r="AO21" s="388" t="s">
        <v>566</v>
      </c>
      <c r="AP21" s="388" t="s">
        <v>567</v>
      </c>
      <c r="AQ21" s="388" t="s">
        <v>568</v>
      </c>
      <c r="AR21" s="388" t="s">
        <v>569</v>
      </c>
      <c r="AS21" s="388" t="s">
        <v>570</v>
      </c>
    </row>
    <row r="22" spans="1:45" x14ac:dyDescent="0.35">
      <c r="A22" s="129"/>
      <c r="B22" s="250">
        <v>101</v>
      </c>
      <c r="C22" s="131" t="s">
        <v>167</v>
      </c>
      <c r="D22" s="192">
        <f>SUMIFS(ACOAETME2021[[#All],[Member Months]], ACOAETME2021[[#All],[Insurance Category Code]], $E$20, ACOAETME2021[[#All],[ACO/AE or Insurer Overall Organization ID]], ValbyACO_ICC3[[#This Row],[Org ID]])</f>
        <v>0</v>
      </c>
      <c r="E22" s="268" t="str">
        <f>IFERROR(IF(ValbyACO_ICC3[[#This Row],[2021 Member Months]]=0,"NA",SUMIFS(ACOAETME2021[[#All],[Claims: Hospital Inpatient]], ACOAETME2021[[#All],[Insurance Category Code]], $E$20, ACOAETME2021[[#All],[ACO/AE or Insurer Overall Organization ID]], ValbyACO_ICC3[[#This Row],[Org ID]])/ValbyACO_ICC3[[#This Row],[2021 Member Months]]), "NA")</f>
        <v>NA</v>
      </c>
      <c r="F22" s="268" t="str">
        <f>IFERROR(IF(ValbyACO_ICC3[[#This Row],[2021 Member Months]]=0,"NA",SUMIFS(ACOAETME2021[[#All],[Claims: Hospital Outpatient]], ACOAETME2021[[#All],[Insurance Category Code]], $E$20, ACOAETME2021[[#All],[ACO/AE or Insurer Overall Organization ID]], ValbyACO_ICC3[[#This Row],[Org ID]])/ValbyACO_ICC3[[#This Row],[2021 Member Months]]), "NA")</f>
        <v>NA</v>
      </c>
      <c r="G22" s="268" t="str">
        <f>IFERROR(IF(ValbyACO_ICC3[[#This Row],[2021 Member Months]]=0,"NA",SUMIFS(ACOAETME2021[[#All],[Claims: Professional, Primary Care]], ACOAETME2021[[#All],[Insurance Category Code]], $E$20, ACOAETME2021[[#All],[ACO/AE or Insurer Overall Organization ID]], ValbyACO_ICC3[[#This Row],[Org ID]])/ValbyACO_ICC3[[#This Row],[2021 Member Months]]), "NA")</f>
        <v>NA</v>
      </c>
      <c r="H22" s="268" t="str">
        <f>IFERROR(IF(ValbyACO_ICC3[[#This Row],[2021 Member Months]]=0,"NA",SUMIFS(ACOAETME2021[[#All],[Claims: Professional, Specialty Care]], ACOAETME2021[[#All],[Insurance Category Code]], $E$20, ACOAETME2021[[#All],[ACO/AE or Insurer Overall Organization ID]], ValbyACO_ICC3[[#This Row],[Org ID]])/ValbyACO_ICC3[[#This Row],[2021 Member Months]]), "NA")</f>
        <v>NA</v>
      </c>
      <c r="I22" s="268" t="str">
        <f>IFERROR(IF(ValbyACO_ICC3[[#This Row],[2021 Member Months]]=0,"NA",SUMIFS(ACOAETME2021[[#All],[Claims: Professional Other]], ACOAETME2021[[#All],[Insurance Category Code]], $E$20, ACOAETME2021[[#All],[ACO/AE or Insurer Overall Organization ID]], ValbyACO_ICC3[[#This Row],[Org ID]])/ValbyACO_ICC3[[#This Row],[2021 Member Months]]), "NA")</f>
        <v>NA</v>
      </c>
      <c r="J22" s="268" t="str">
        <f>IFERROR(IF(ValbyACO_ICC3[[#This Row],[2021 Member Months]]=0,"NA",SUMIFS(ACOAETME2021[[#All],[Claims: Pharmacy]], ACOAETME2021[[#All],[Insurance Category Code]], $E$20, ACOAETME2021[[#All],[ACO/AE or Insurer Overall Organization ID]], ValbyACO_ICC3[[#This Row],[Org ID]])/ValbyACO_ICC3[[#This Row],[2021 Member Months]]), "NA")</f>
        <v>NA</v>
      </c>
      <c r="K22" s="268" t="str">
        <f>IFERROR(IF(ValbyACO_ICC3[[#This Row],[2021 Member Months]]=0,"NA",SUMIFS(ACOAETME2021[[#All],[Claims: Long-Term Care]], ACOAETME2021[[#All],[Insurance Category Code]], $E$20, ACOAETME2021[[#All],[ACO/AE or Insurer Overall Organization ID]], ValbyACO_ICC3[[#This Row],[Org ID]])/ValbyACO_ICC3[[#This Row],[2021 Member Months]]), "NA")</f>
        <v>NA</v>
      </c>
      <c r="L22" s="268" t="str">
        <f>IFERROR(IF(ValbyACO_ICC3[[#This Row],[2021 Member Months]]=0,"NA",SUMIFS(ACOAETME2021[[#All],[Claims: Other]], ACOAETME2021[[#All],[Insurance Category Code]], $E$20, ACOAETME2021[[#All],[ACO/AE or Insurer Overall Organization ID]], ValbyACO_ICC3[[#This Row],[Org ID]])/ValbyACO_ICC3[[#This Row],[2021 Member Months]]), "NA")</f>
        <v>NA</v>
      </c>
      <c r="M22" s="118" t="str">
        <f>IF(ValbyACO_ICC3[[#This Row],[2021 Member Months]]=0,"NA",SUMIFS(ACOAETME2021[[#All],[TOTAL Non-Truncated Unadjusted Claims Expenses]], ACOAETME2021[[#All],[Insurance Category Code]], $E$20, ACOAETME2021[[#All],[ACO/AE or Insurer Overall Organization ID]], ValbyACO_ICC3[[#This Row],[Org ID]])/ValbyACO_ICC3[[#This Row],[2021 Member Months]])</f>
        <v>NA</v>
      </c>
      <c r="N22" s="118" t="str">
        <f>IF(ValbyACO_ICC3[[#This Row],[2021 Member Months]]=0,"NA",SUMIFS(ACOAETME2021[[#All],[TOTAL Truncated Unadjusted Claims Expenses (A19 - A17)]], ACOAETME2021[[#All],[Insurance Category Code]], $E$20, ACOAETME2021[[#All],[ACO/AE or Insurer Overall Organization ID]], ValbyACO_ICC3[[#This Row],[Org ID]])/ValbyACO_ICC3[[#This Row],[2021 Member Months]])</f>
        <v>NA</v>
      </c>
      <c r="O22" s="118" t="str">
        <f>IF(ValbyACO_ICC3[[#This Row],[2021 Member Months]]=0,"NA",SUMIFS(ACOAETME2021[[#All],[TOTAL Non-Claims Expenses]], ACOAETME2021[[#All],[Insurance Category Code]], $E$20, ACOAETME2021[[#All],[ACO/AE or Insurer Overall Organization ID]], ValbyACO_ICC3[[#This Row],[Org ID]])/ValbyACO_ICC3[[#This Row],[2021 Member Months]])</f>
        <v>NA</v>
      </c>
      <c r="P22" s="350" t="str">
        <f>IF(ValbyACO_ICC3[[#This Row],[2021 Member Months]]=0, "NA", SUMIFS(ACOAETME2021[[#All],[TOTAL Non-Truncated Unadjusted Expenses 
(A19+A21)]], ACOAETME2021[[#All],[Insurance Category Code]], $E$20, ACOAETME2021[[#All],[ACO/AE or Insurer Overall Organization ID]], ValbyACO_ICC3[[#This Row],[Org ID]])/ValbyACO_ICC3[[#This Row],[2021 Member Months]])</f>
        <v>NA</v>
      </c>
      <c r="Q22" s="119" t="str">
        <f>IF(ValbyACO_ICC3[[#This Row],[2021 Member Months]]=0, "NA", SUMIFS(ACOAETME2021[[#All],[TOTAL Truncated Unadjusted Expenses (A20+A21)]], ACOAETME2021[[#All],[Insurance Category Code]], $E$20, ACOAETME2021[[#All],[ACO/AE or Insurer Overall Organization ID]], ValbyACO_ICC3[[#This Row],[Org ID]])/ValbyACO_ICC3[[#This Row],[2021 Member Months]])</f>
        <v>NA</v>
      </c>
      <c r="R22" s="192">
        <f>SUMIFS(ACOAETME2022[[#All],[Member Months]],ACOAETME2022[[#All],[Insurance Category Code]],$E$20,ACOAETME2022[[#All],[ACO/AE or Insurer Overall Organization ID]],ValbyACO_ICC3[[#This Row],[Org ID]])</f>
        <v>0</v>
      </c>
      <c r="S22" s="118" t="str">
        <f>IF(ValbyACO_ICC3[[#This Row],[2022 Member Months]]=0,"NA",SUMIFS(ACOAETME2022[[#All],[Claims: Hospital Inpatient]],ACOAETME2022[[#All],[Insurance Category Code]],$E$20,ACOAETME2022[[#All],[ACO/AE or Insurer Overall Organization ID]],ValbyACO_ICC3[[#This Row],[Org ID]])/ValbyACO_ICC3[[#This Row],[2022 Member Months]])</f>
        <v>NA</v>
      </c>
      <c r="T22" s="118" t="str">
        <f>IF(ValbyACO_ICC3[[#This Row],[2022 Member Months]]=0,"NA",SUMIFS(ACOAETME2022[[#All],[Claims: Hospital Outpatient]],ACOAETME2022[[#All],[Insurance Category Code]],$E$20,ACOAETME2022[[#All],[ACO/AE or Insurer Overall Organization ID]],ValbyACO_ICC3[[#This Row],[Org ID]])/ValbyACO_ICC3[[#This Row],[2022 Member Months]])</f>
        <v>NA</v>
      </c>
      <c r="U22" s="118" t="str">
        <f>IF(ValbyACO_ICC3[[#This Row],[2022 Member Months]]=0,"NA",SUMIFS(ACOAETME2022[[#All],[Claims: Professional, Primary Care]],ACOAETME2022[[#All],[Insurance Category Code]],$E$20,ACOAETME2022[[#All],[ACO/AE or Insurer Overall Organization ID]],ValbyACO_ICC3[[#This Row],[Org ID]])/ValbyACO_ICC3[[#This Row],[2022 Member Months]])</f>
        <v>NA</v>
      </c>
      <c r="V22" s="118" t="str">
        <f>IF(ValbyACO_ICC3[[#This Row],[2022 Member Months]]=0,"NA",SUMIFS(ACOAETME2022[[#All],[Claims: Professional, Specialty Care]],ACOAETME2022[[#All],[Insurance Category Code]],$E$20,ACOAETME2022[[#All],[ACO/AE or Insurer Overall Organization ID]],ValbyACO_ICC3[[#This Row],[Org ID]])/ValbyACO_ICC3[[#This Row],[2022 Member Months]])</f>
        <v>NA</v>
      </c>
      <c r="W22" s="118" t="str">
        <f>IF(ValbyACO_ICC3[[#This Row],[2022 Member Months]]=0,"NA",SUMIFS(ACOAETME2022[[#All],[Claims: Professional Other]],ACOAETME2022[[#All],[Insurance Category Code]],$E$20,ACOAETME2022[[#All],[ACO/AE or Insurer Overall Organization ID]],ValbyACO_ICC3[[#This Row],[Org ID]])/ValbyACO_ICC3[[#This Row],[2022 Member Months]])</f>
        <v>NA</v>
      </c>
      <c r="X22" s="118" t="str">
        <f>IF(ValbyACO_ICC3[[#This Row],[2022 Member Months]]=0,"NA",SUMIFS(ACOAETME2022[[#All],[Claims: Pharmacy]],ACOAETME2022[[#All],[Insurance Category Code]],$E$20,ACOAETME2022[[#All],[ACO/AE or Insurer Overall Organization ID]],ValbyACO_ICC3[[#This Row],[Org ID]])/ValbyACO_ICC3[[#This Row],[2022 Member Months]])</f>
        <v>NA</v>
      </c>
      <c r="Y22" s="118" t="str">
        <f>IF(ValbyACO_ICC3[[#This Row],[2022 Member Months]]=0,"NA",SUMIFS(ACOAETME2022[[#All],[Claims: Long-Term Care]],ACOAETME2022[[#All],[Insurance Category Code]],$E$20,ACOAETME2022[[#All],[ACO/AE or Insurer Overall Organization ID]],ValbyACO_ICC3[[#This Row],[Org ID]])/ValbyACO_ICC3[[#This Row],[2022 Member Months]])</f>
        <v>NA</v>
      </c>
      <c r="Z22" s="118" t="str">
        <f>IF(ValbyACO_ICC3[[#This Row],[2022 Member Months]]=0,"NA",SUMIFS(ACOAETME2022[[#All],[Claims: Other]],ACOAETME2022[[#All],[Insurance Category Code]],$E$20,ACOAETME2022[[#All],[ACO/AE or Insurer Overall Organization ID]],ValbyACO_ICC3[[#This Row],[Org ID]])/ValbyACO_ICC3[[#This Row],[2022 Member Months]])</f>
        <v>NA</v>
      </c>
      <c r="AA22" s="118" t="str">
        <f>IF(ValbyACO_ICC3[[#This Row],[2022 Member Months]]=0,"NA",SUMIFS(ACOAETME2022[[#All],[TOTAL Non-Truncated Unadjusted Claims Expenses]],ACOAETME2022[[#All],[Insurance Category Code]],$E$20,ACOAETME2022[[#All],[ACO/AE or Insurer Overall Organization ID]],ValbyACO_ICC3[[#This Row],[Org ID]])/ValbyACO_ICC3[[#This Row],[2022 Member Months]])</f>
        <v>NA</v>
      </c>
      <c r="AB22" s="118" t="str">
        <f>IF(ValbyACO_ICC3[[#This Row],[2022 Member Months]]=0,"NA",SUMIFS(ACOAETME2022[[#All],[TOTAL Truncated Unadjusted Expenses (A20+A21)]],ACOAETME2022[[#All],[Insurance Category Code]],$E$20,ACOAETME2022[[#All],[ACO/AE or Insurer Overall Organization ID]],ValbyACO_ICC3[[#This Row],[Org ID]])/ValbyACO_ICC3[[#This Row],[2022 Member Months]])</f>
        <v>NA</v>
      </c>
      <c r="AC22" s="118" t="str">
        <f>IF(ValbyACO_ICC3[[#This Row],[2022 Member Months]]=0,"NA",SUMIFS(ACOAETME2022[[#All],[TOTAL Non-Claims Expenses]],ACOAETME2022[[#All],[Insurance Category Code]],$E$20,ACOAETME2022[[#All],[ACO/AE or Insurer Overall Organization ID]],ValbyACO_ICC3[[#This Row],[Org ID]])/ValbyACO_ICC3[[#This Row],[2022 Member Months]])</f>
        <v>NA</v>
      </c>
      <c r="AD22" s="118" t="str">
        <f>IF(ValbyACO_ICC3[[#This Row],[2022 Member Months]]=0,"NA",SUMIFS(ACOAETME2022[[#All],[TOTAL Non-Truncated Unadjusted Expenses 
(A19+A21)]],ACOAETME2022[[#All],[Insurance Category Code]],$E$20,ACOAETME2022[[#All],[ACO/AE or Insurer Overall Organization ID]],ValbyACO_ICC3[[#This Row],[Org ID]])/ValbyACO_ICC3[[#This Row],[2022 Member Months]])</f>
        <v>NA</v>
      </c>
      <c r="AE22" s="119" t="str">
        <f>IF(ValbyACO_ICC3[[#This Row],[2022 Member Months]]=0,"NA",SUMIFS(ACOAETME2022[[#All],[TOTAL Truncated Unadjusted Expenses (A20+A21)]],ACOAETME2022[[#All],[Insurance Category Code]],$E$20,ACOAETME2022[[#All],[ACO/AE or Insurer Overall Organization ID]],ValbyACO_ICC3[[#This Row],[Org ID]])/ValbyACO_ICC3[[#This Row],[2022 Member Months]])</f>
        <v>NA</v>
      </c>
      <c r="AF22" s="160" t="str">
        <f>IFERROR(IF(ValbyACO_ICC3[[#This Row],[2021 Member Months]]=0,"NA",ValbyACO_ICC3[[#This Row],[2022 Member Months]]/ValbyACO_ICC3[[#This Row],[2021 Member Months]]-1),"NA")</f>
        <v>NA</v>
      </c>
      <c r="AG22" s="161" t="str">
        <f>IFERROR(IF(ValbyACO_ICC3[[#This Row],[2021 Member Months]]=0,"NA",ValbyACO_ICC3[[#This Row],[2022 Claims: Hospital Inpatient]]/ValbyACO_ICC3[[#This Row],[2021 Claims: Hospital Inpatient]]-1),"NA")</f>
        <v>NA</v>
      </c>
      <c r="AH22" s="162" t="str">
        <f>IFERROR(IF(ValbyACO_ICC3[[#This Row],[2021 Member Months]]=0,"NA",ValbyACO_ICC3[[#This Row],[2022 Claims: Hospital Outpatient]]/ValbyACO_ICC3[[#This Row],[2021 Claims: Hospital Outpatient]]-1),"NA")</f>
        <v>NA</v>
      </c>
      <c r="AI22" s="162" t="str">
        <f>IFERROR(IF(ValbyACO_ICC3[[#This Row],[2021 Member Months]]=0,"NA",ValbyACO_ICC3[[#This Row],[2022 Claims: Professional, Primary Care]]/ValbyACO_ICC3[[#This Row],[2021 Claims: Professional, Primary Care]]-1),"NA")</f>
        <v>NA</v>
      </c>
      <c r="AJ22" s="162" t="str">
        <f>IFERROR(IF(ValbyACO_ICC3[[#This Row],[2021 Member Months]]=0,"NA",ValbyACO_ICC3[[#This Row],[2022 Claims: Professional, Specialty Care]]/ValbyACO_ICC3[[#This Row],[2021 Claims: Professional, Specialty Care]]-1),"NA")</f>
        <v>NA</v>
      </c>
      <c r="AK22" s="162" t="str">
        <f>IFERROR(IF(ValbyACO_ICC3[[#This Row],[2021 Member Months]]=0,"NA", ValbyACO_ICC3[[#This Row],[2022 Claims: Professional Other]]/ValbyACO_ICC3[[#This Row],[2021 Claims: Professional Other]]-1),"NA")</f>
        <v>NA</v>
      </c>
      <c r="AL22" s="162" t="str">
        <f>IFERROR(IF(ValbyACO_ICC3[[#This Row],[2021 Member Months]]=0,"NA",ValbyACO_ICC3[[#This Row],[2022 Claims: Pharmacy (Gross of Retail Pharmacy Rebates)]]/ValbyACO_ICC3[[#This Row],[2021 Claims: Pharmacy (Gross of  Rebates)]]-1),"NA")</f>
        <v>NA</v>
      </c>
      <c r="AM22" s="162" t="str">
        <f>IFERROR(IF(ValbyACO_ICC3[[#This Row],[2021 Member Months]]=0,"NA",ValbyACO_ICC3[[#This Row],[2022 Claims: Long-term Care]]/ValbyACO_ICC3[[#This Row],[2021 Claims: Long-term Care]]-1),"NA")</f>
        <v>NA</v>
      </c>
      <c r="AN22" s="162" t="str">
        <f>IFERROR(IF(ValbyACO_ICC3[[#This Row],[2021 Member Months]]=0,"NA",ValbyACO_ICC3[[#This Row],[2022 Claims: Other]]/ValbyACO_ICC3[[#This Row],[2021 Claims: Other]]-1),"NA")</f>
        <v>NA</v>
      </c>
      <c r="AO22" s="163" t="str">
        <f>IFERROR(IF(ValbyACO_ICC3[[#This Row],[2021 Member Months]]=0,"NA",ValbyACO_ICC3[[#This Row],[2022 TOTAL Non-Truncated Claims Expenses]]/ValbyACO_ICC3[[#This Row],[2021 TOTAL Non-Truncated Claims Expenses]]-1),"NA")</f>
        <v>NA</v>
      </c>
      <c r="AP22" s="163" t="str">
        <f>IFERROR(IF(ValbyACO_ICC3[[#This Row],[2021 Member Months]]=0,"NA",ValbyACO_ICC3[[#This Row],[2022 TOTAL Truncated Claims Expenses]]/ValbyACO_ICC3[[#This Row],[2021 TOTAL Truncated Claims Expenses]]-1),"NA")</f>
        <v>NA</v>
      </c>
      <c r="AQ22" s="163" t="str">
        <f>IFERROR(IF(ValbyACO_ICC3[[#This Row],[2021 Member Months]]=0,"NA",ValbyACO_ICC3[[#This Row],[2022 TOTAL Non-Claims Expenses]]/ValbyACO_ICC3[[#This Row],[2021 TOTAL Non-Claims Expenses]]-1),"NA")</f>
        <v>NA</v>
      </c>
      <c r="AR22" s="163" t="str">
        <f>IFERROR(IF(ValbyACO_ICC3[[#This Row],[2021 Member Months]]=0,"NA",ValbyACO_ICC3[[#This Row],[2022 TOTAL Non-Truncated Total Expenses]]/ValbyACO_ICC3[[#This Row],[2021 TOTAL Non-Truncated Total Expenses]]-1),"NA")</f>
        <v>NA</v>
      </c>
      <c r="AS22" s="163" t="str">
        <f>IFERROR(IF(ValbyACO_ICC3[[#This Row],[2021 Member Months]]=0,"NA",ValbyACO_ICC3[[#This Row],[2022 TOTAL Truncated Total Expenses]]/ValbyACO_ICC3[[#This Row],[2021 TOTAL Truncated Total Expenses]]-1),"NA")</f>
        <v>NA</v>
      </c>
    </row>
    <row r="23" spans="1:45" x14ac:dyDescent="0.35">
      <c r="A23" s="129"/>
      <c r="B23" s="250">
        <v>102</v>
      </c>
      <c r="C23" s="131" t="s">
        <v>190</v>
      </c>
      <c r="D23" s="192">
        <f>SUMIFS(ACOAETME2021[[#All],[Member Months]], ACOAETME2021[[#All],[Insurance Category Code]], $E$20, ACOAETME2021[[#All],[ACO/AE or Insurer Overall Organization ID]], ValbyACO_ICC3[[#This Row],[Org ID]])</f>
        <v>0</v>
      </c>
      <c r="E23" s="268" t="str">
        <f>IFERROR(IF(ValbyACO_ICC3[[#This Row],[2021 Member Months]]=0,"NA",SUMIFS(ACOAETME2021[[#All],[Claims: Hospital Inpatient]], ACOAETME2021[[#All],[Insurance Category Code]], $E$20, ACOAETME2021[[#All],[ACO/AE or Insurer Overall Organization ID]], ValbyACO_ICC3[[#This Row],[Org ID]])/ValbyACO_ICC3[[#This Row],[2021 Member Months]]), "NA")</f>
        <v>NA</v>
      </c>
      <c r="F23" s="268" t="str">
        <f>IFERROR(IF(ValbyACO_ICC3[[#This Row],[2021 Member Months]]=0,"NA",SUMIFS(ACOAETME2021[[#All],[Claims: Hospital Outpatient]], ACOAETME2021[[#All],[Insurance Category Code]], $E$20, ACOAETME2021[[#All],[ACO/AE or Insurer Overall Organization ID]], ValbyACO_ICC3[[#This Row],[Org ID]])/ValbyACO_ICC3[[#This Row],[2021 Member Months]]), "NA")</f>
        <v>NA</v>
      </c>
      <c r="G23" s="268" t="str">
        <f>IFERROR(IF(ValbyACO_ICC3[[#This Row],[2021 Member Months]]=0,"NA",SUMIFS(ACOAETME2021[[#All],[Claims: Professional, Primary Care]], ACOAETME2021[[#All],[Insurance Category Code]], $E$20, ACOAETME2021[[#All],[ACO/AE or Insurer Overall Organization ID]], ValbyACO_ICC3[[#This Row],[Org ID]])/ValbyACO_ICC3[[#This Row],[2021 Member Months]]), "NA")</f>
        <v>NA</v>
      </c>
      <c r="H23" s="268" t="str">
        <f>IFERROR(IF(ValbyACO_ICC3[[#This Row],[2021 Member Months]]=0,"NA",SUMIFS(ACOAETME2021[[#All],[Claims: Professional, Specialty Care]], ACOAETME2021[[#All],[Insurance Category Code]], $E$20, ACOAETME2021[[#All],[ACO/AE or Insurer Overall Organization ID]], ValbyACO_ICC3[[#This Row],[Org ID]])/ValbyACO_ICC3[[#This Row],[2021 Member Months]]), "NA")</f>
        <v>NA</v>
      </c>
      <c r="I23" s="268" t="str">
        <f>IFERROR(IF(ValbyACO_ICC3[[#This Row],[2021 Member Months]]=0,"NA",SUMIFS(ACOAETME2021[[#All],[Claims: Professional Other]], ACOAETME2021[[#All],[Insurance Category Code]], $E$20, ACOAETME2021[[#All],[ACO/AE or Insurer Overall Organization ID]], ValbyACO_ICC3[[#This Row],[Org ID]])/ValbyACO_ICC3[[#This Row],[2021 Member Months]]), "NA")</f>
        <v>NA</v>
      </c>
      <c r="J23" s="268" t="str">
        <f>IFERROR(IF(ValbyACO_ICC3[[#This Row],[2021 Member Months]]=0,"NA",SUMIFS(ACOAETME2021[[#All],[Claims: Pharmacy]], ACOAETME2021[[#All],[Insurance Category Code]], $E$20, ACOAETME2021[[#All],[ACO/AE or Insurer Overall Organization ID]], ValbyACO_ICC3[[#This Row],[Org ID]])/ValbyACO_ICC3[[#This Row],[2021 Member Months]]), "NA")</f>
        <v>NA</v>
      </c>
      <c r="K23" s="268" t="str">
        <f>IFERROR(IF(ValbyACO_ICC3[[#This Row],[2021 Member Months]]=0,"NA",SUMIFS(ACOAETME2021[[#All],[Claims: Long-Term Care]], ACOAETME2021[[#All],[Insurance Category Code]], $E$20, ACOAETME2021[[#All],[ACO/AE or Insurer Overall Organization ID]], ValbyACO_ICC3[[#This Row],[Org ID]])/ValbyACO_ICC3[[#This Row],[2021 Member Months]]), "NA")</f>
        <v>NA</v>
      </c>
      <c r="L23" s="268" t="str">
        <f>IFERROR(IF(ValbyACO_ICC3[[#This Row],[2021 Member Months]]=0,"NA",SUMIFS(ACOAETME2021[[#All],[Claims: Other]], ACOAETME2021[[#All],[Insurance Category Code]], $E$20, ACOAETME2021[[#All],[ACO/AE or Insurer Overall Organization ID]], ValbyACO_ICC3[[#This Row],[Org ID]])/ValbyACO_ICC3[[#This Row],[2021 Member Months]]), "NA")</f>
        <v>NA</v>
      </c>
      <c r="M23" s="118" t="str">
        <f>IF(ValbyACO_ICC3[[#This Row],[2021 Member Months]]=0,"NA",SUMIFS(ACOAETME2021[[#All],[TOTAL Non-Truncated Unadjusted Claims Expenses]], ACOAETME2021[[#All],[Insurance Category Code]], $E$20, ACOAETME2021[[#All],[ACO/AE or Insurer Overall Organization ID]], ValbyACO_ICC3[[#This Row],[Org ID]])/ValbyACO_ICC3[[#This Row],[2021 Member Months]])</f>
        <v>NA</v>
      </c>
      <c r="N23" s="118" t="str">
        <f>IF(ValbyACO_ICC3[[#This Row],[2021 Member Months]]=0,"NA",SUMIFS(ACOAETME2021[[#All],[TOTAL Truncated Unadjusted Claims Expenses (A19 - A17)]], ACOAETME2021[[#All],[Insurance Category Code]], $E$20, ACOAETME2021[[#All],[ACO/AE or Insurer Overall Organization ID]], ValbyACO_ICC3[[#This Row],[Org ID]])/ValbyACO_ICC3[[#This Row],[2021 Member Months]])</f>
        <v>NA</v>
      </c>
      <c r="O23" s="118" t="str">
        <f>IF(ValbyACO_ICC3[[#This Row],[2021 Member Months]]=0,"NA",SUMIFS(ACOAETME2021[[#All],[TOTAL Non-Claims Expenses]], ACOAETME2021[[#All],[Insurance Category Code]], $E$20, ACOAETME2021[[#All],[ACO/AE or Insurer Overall Organization ID]], ValbyACO_ICC3[[#This Row],[Org ID]])/ValbyACO_ICC3[[#This Row],[2021 Member Months]])</f>
        <v>NA</v>
      </c>
      <c r="P23" s="350" t="str">
        <f>IF(ValbyACO_ICC3[[#This Row],[2021 Member Months]]=0, "NA", SUMIFS(ACOAETME2021[[#All],[TOTAL Non-Truncated Unadjusted Expenses 
(A19+A21)]], ACOAETME2021[[#All],[Insurance Category Code]], $E$20, ACOAETME2021[[#All],[ACO/AE or Insurer Overall Organization ID]], ValbyACO_ICC3[[#This Row],[Org ID]])/ValbyACO_ICC3[[#This Row],[2021 Member Months]])</f>
        <v>NA</v>
      </c>
      <c r="Q23" s="119" t="str">
        <f>IF(ValbyACO_ICC3[[#This Row],[2021 Member Months]]=0, "NA", SUMIFS(ACOAETME2021[[#All],[TOTAL Truncated Unadjusted Expenses (A20+A21)]], ACOAETME2021[[#All],[Insurance Category Code]], $E$20, ACOAETME2021[[#All],[ACO/AE or Insurer Overall Organization ID]], ValbyACO_ICC3[[#This Row],[Org ID]])/ValbyACO_ICC3[[#This Row],[2021 Member Months]])</f>
        <v>NA</v>
      </c>
      <c r="R23" s="192">
        <f>SUMIFS(ACOAETME2022[[#All],[Member Months]],ACOAETME2022[[#All],[Insurance Category Code]],$E$20,ACOAETME2022[[#All],[ACO/AE or Insurer Overall Organization ID]],ValbyACO_ICC3[[#This Row],[Org ID]])</f>
        <v>0</v>
      </c>
      <c r="S23" s="118" t="str">
        <f>IF(ValbyACO_ICC3[[#This Row],[2022 Member Months]]=0,"NA",SUMIFS(ACOAETME2022[[#All],[Claims: Hospital Inpatient]],ACOAETME2022[[#All],[Insurance Category Code]],$E$20,ACOAETME2022[[#All],[ACO/AE or Insurer Overall Organization ID]],ValbyACO_ICC3[[#This Row],[Org ID]])/ValbyACO_ICC3[[#This Row],[2022 Member Months]])</f>
        <v>NA</v>
      </c>
      <c r="T23" s="118" t="str">
        <f>IF(ValbyACO_ICC3[[#This Row],[2022 Member Months]]=0,"NA",SUMIFS(ACOAETME2022[[#All],[Claims: Hospital Outpatient]],ACOAETME2022[[#All],[Insurance Category Code]],$E$20,ACOAETME2022[[#All],[ACO/AE or Insurer Overall Organization ID]],ValbyACO_ICC3[[#This Row],[Org ID]])/ValbyACO_ICC3[[#This Row],[2022 Member Months]])</f>
        <v>NA</v>
      </c>
      <c r="U23" s="118" t="str">
        <f>IF(ValbyACO_ICC3[[#This Row],[2022 Member Months]]=0,"NA",SUMIFS(ACOAETME2022[[#All],[Claims: Professional, Primary Care]],ACOAETME2022[[#All],[Insurance Category Code]],$E$20,ACOAETME2022[[#All],[ACO/AE or Insurer Overall Organization ID]],ValbyACO_ICC3[[#This Row],[Org ID]])/ValbyACO_ICC3[[#This Row],[2022 Member Months]])</f>
        <v>NA</v>
      </c>
      <c r="V23" s="118" t="str">
        <f>IF(ValbyACO_ICC3[[#This Row],[2022 Member Months]]=0,"NA",SUMIFS(ACOAETME2022[[#All],[Claims: Professional, Specialty Care]],ACOAETME2022[[#All],[Insurance Category Code]],$E$20,ACOAETME2022[[#All],[ACO/AE or Insurer Overall Organization ID]],ValbyACO_ICC3[[#This Row],[Org ID]])/ValbyACO_ICC3[[#This Row],[2022 Member Months]])</f>
        <v>NA</v>
      </c>
      <c r="W23" s="118" t="str">
        <f>IF(ValbyACO_ICC3[[#This Row],[2022 Member Months]]=0,"NA",SUMIFS(ACOAETME2022[[#All],[Claims: Professional Other]],ACOAETME2022[[#All],[Insurance Category Code]],$E$20,ACOAETME2022[[#All],[ACO/AE or Insurer Overall Organization ID]],ValbyACO_ICC3[[#This Row],[Org ID]])/ValbyACO_ICC3[[#This Row],[2022 Member Months]])</f>
        <v>NA</v>
      </c>
      <c r="X23" s="118" t="str">
        <f>IF(ValbyACO_ICC3[[#This Row],[2022 Member Months]]=0,"NA",SUMIFS(ACOAETME2022[[#All],[Claims: Pharmacy]],ACOAETME2022[[#All],[Insurance Category Code]],$E$20,ACOAETME2022[[#All],[ACO/AE or Insurer Overall Organization ID]],ValbyACO_ICC3[[#This Row],[Org ID]])/ValbyACO_ICC3[[#This Row],[2022 Member Months]])</f>
        <v>NA</v>
      </c>
      <c r="Y23" s="118" t="str">
        <f>IF(ValbyACO_ICC3[[#This Row],[2022 Member Months]]=0,"NA",SUMIFS(ACOAETME2022[[#All],[Claims: Long-Term Care]],ACOAETME2022[[#All],[Insurance Category Code]],$E$20,ACOAETME2022[[#All],[ACO/AE or Insurer Overall Organization ID]],ValbyACO_ICC3[[#This Row],[Org ID]])/ValbyACO_ICC3[[#This Row],[2022 Member Months]])</f>
        <v>NA</v>
      </c>
      <c r="Z23" s="118" t="str">
        <f>IF(ValbyACO_ICC3[[#This Row],[2022 Member Months]]=0,"NA",SUMIFS(ACOAETME2022[[#All],[Claims: Other]],ACOAETME2022[[#All],[Insurance Category Code]],$E$20,ACOAETME2022[[#All],[ACO/AE or Insurer Overall Organization ID]],ValbyACO_ICC3[[#This Row],[Org ID]])/ValbyACO_ICC3[[#This Row],[2022 Member Months]])</f>
        <v>NA</v>
      </c>
      <c r="AA23" s="118" t="str">
        <f>IF(ValbyACO_ICC3[[#This Row],[2022 Member Months]]=0,"NA",SUMIFS(ACOAETME2022[[#All],[TOTAL Non-Truncated Unadjusted Claims Expenses]],ACOAETME2022[[#All],[Insurance Category Code]],$E$20,ACOAETME2022[[#All],[ACO/AE or Insurer Overall Organization ID]],ValbyACO_ICC3[[#This Row],[Org ID]])/ValbyACO_ICC3[[#This Row],[2022 Member Months]])</f>
        <v>NA</v>
      </c>
      <c r="AB23" s="118" t="str">
        <f>IF(ValbyACO_ICC3[[#This Row],[2022 Member Months]]=0,"NA",SUMIFS(ACOAETME2022[[#All],[TOTAL Truncated Unadjusted Expenses (A20+A21)]],ACOAETME2022[[#All],[Insurance Category Code]],$E$20,ACOAETME2022[[#All],[ACO/AE or Insurer Overall Organization ID]],ValbyACO_ICC3[[#This Row],[Org ID]])/ValbyACO_ICC3[[#This Row],[2022 Member Months]])</f>
        <v>NA</v>
      </c>
      <c r="AC23" s="118" t="str">
        <f>IF(ValbyACO_ICC3[[#This Row],[2022 Member Months]]=0,"NA",SUMIFS(ACOAETME2022[[#All],[TOTAL Non-Claims Expenses]],ACOAETME2022[[#All],[Insurance Category Code]],$E$20,ACOAETME2022[[#All],[ACO/AE or Insurer Overall Organization ID]],ValbyACO_ICC3[[#This Row],[Org ID]])/ValbyACO_ICC3[[#This Row],[2022 Member Months]])</f>
        <v>NA</v>
      </c>
      <c r="AD23" s="118" t="str">
        <f>IF(ValbyACO_ICC3[[#This Row],[2022 Member Months]]=0,"NA",SUMIFS(ACOAETME2022[[#All],[TOTAL Non-Truncated Unadjusted Expenses 
(A19+A21)]],ACOAETME2022[[#All],[Insurance Category Code]],$E$20,ACOAETME2022[[#All],[ACO/AE or Insurer Overall Organization ID]],ValbyACO_ICC3[[#This Row],[Org ID]])/ValbyACO_ICC3[[#This Row],[2022 Member Months]])</f>
        <v>NA</v>
      </c>
      <c r="AE23" s="119" t="str">
        <f>IF(ValbyACO_ICC3[[#This Row],[2022 Member Months]]=0,"NA",SUMIFS(ACOAETME2022[[#All],[TOTAL Truncated Unadjusted Expenses (A20+A21)]],ACOAETME2022[[#All],[Insurance Category Code]],$E$20,ACOAETME2022[[#All],[ACO/AE or Insurer Overall Organization ID]],ValbyACO_ICC3[[#This Row],[Org ID]])/ValbyACO_ICC3[[#This Row],[2022 Member Months]])</f>
        <v>NA</v>
      </c>
      <c r="AF23" s="160" t="str">
        <f>IFERROR(IF(ValbyACO_ICC3[[#This Row],[2021 Member Months]]=0,"NA",ValbyACO_ICC3[[#This Row],[2022 Member Months]]/ValbyACO_ICC3[[#This Row],[2021 Member Months]]-1),"NA")</f>
        <v>NA</v>
      </c>
      <c r="AG23" s="161" t="str">
        <f>IFERROR(IF(ValbyACO_ICC3[[#This Row],[2021 Member Months]]=0,"NA",ValbyACO_ICC3[[#This Row],[2022 Claims: Hospital Inpatient]]/ValbyACO_ICC3[[#This Row],[2021 Claims: Hospital Inpatient]]-1),"NA")</f>
        <v>NA</v>
      </c>
      <c r="AH23" s="162" t="str">
        <f>IFERROR(IF(ValbyACO_ICC3[[#This Row],[2021 Member Months]]=0,"NA",ValbyACO_ICC3[[#This Row],[2022 Claims: Hospital Outpatient]]/ValbyACO_ICC3[[#This Row],[2021 Claims: Hospital Outpatient]]-1),"NA")</f>
        <v>NA</v>
      </c>
      <c r="AI23" s="162" t="str">
        <f>IFERROR(IF(ValbyACO_ICC3[[#This Row],[2021 Member Months]]=0,"NA",ValbyACO_ICC3[[#This Row],[2022 Claims: Professional, Primary Care]]/ValbyACO_ICC3[[#This Row],[2021 Claims: Professional, Primary Care]]-1),"NA")</f>
        <v>NA</v>
      </c>
      <c r="AJ23" s="162" t="str">
        <f>IFERROR(IF(ValbyACO_ICC3[[#This Row],[2021 Member Months]]=0,"NA",ValbyACO_ICC3[[#This Row],[2022 Claims: Professional, Specialty Care]]/ValbyACO_ICC3[[#This Row],[2021 Claims: Professional, Specialty Care]]-1),"NA")</f>
        <v>NA</v>
      </c>
      <c r="AK23" s="162" t="str">
        <f>IFERROR(IF(ValbyACO_ICC3[[#This Row],[2021 Member Months]]=0,"NA", ValbyACO_ICC3[[#This Row],[2022 Claims: Professional Other]]/ValbyACO_ICC3[[#This Row],[2021 Claims: Professional Other]]-1),"NA")</f>
        <v>NA</v>
      </c>
      <c r="AL23" s="162" t="str">
        <f>IFERROR(IF(ValbyACO_ICC3[[#This Row],[2021 Member Months]]=0,"NA",ValbyACO_ICC3[[#This Row],[2022 Claims: Pharmacy (Gross of Retail Pharmacy Rebates)]]/ValbyACO_ICC3[[#This Row],[2021 Claims: Pharmacy (Gross of  Rebates)]]-1),"NA")</f>
        <v>NA</v>
      </c>
      <c r="AM23" s="162" t="str">
        <f>IFERROR(IF(ValbyACO_ICC3[[#This Row],[2021 Member Months]]=0,"NA",ValbyACO_ICC3[[#This Row],[2022 Claims: Long-term Care]]/ValbyACO_ICC3[[#This Row],[2021 Claims: Long-term Care]]-1),"NA")</f>
        <v>NA</v>
      </c>
      <c r="AN23" s="162" t="str">
        <f>IFERROR(IF(ValbyACO_ICC3[[#This Row],[2021 Member Months]]=0,"NA",ValbyACO_ICC3[[#This Row],[2022 Claims: Other]]/ValbyACO_ICC3[[#This Row],[2021 Claims: Other]]-1),"NA")</f>
        <v>NA</v>
      </c>
      <c r="AO23" s="163" t="str">
        <f>IFERROR(IF(ValbyACO_ICC3[[#This Row],[2021 Member Months]]=0,"NA",ValbyACO_ICC3[[#This Row],[2022 TOTAL Non-Truncated Claims Expenses]]/ValbyACO_ICC3[[#This Row],[2021 TOTAL Non-Truncated Claims Expenses]]-1),"NA")</f>
        <v>NA</v>
      </c>
      <c r="AP23" s="163" t="str">
        <f>IFERROR(IF(ValbyACO_ICC3[[#This Row],[2021 Member Months]]=0,"NA",ValbyACO_ICC3[[#This Row],[2022 TOTAL Truncated Claims Expenses]]/ValbyACO_ICC3[[#This Row],[2021 TOTAL Truncated Claims Expenses]]-1),"NA")</f>
        <v>NA</v>
      </c>
      <c r="AQ23" s="163" t="str">
        <f>IFERROR(IF(ValbyACO_ICC3[[#This Row],[2021 Member Months]]=0,"NA",ValbyACO_ICC3[[#This Row],[2022 TOTAL Non-Claims Expenses]]/ValbyACO_ICC3[[#This Row],[2021 TOTAL Non-Claims Expenses]]-1),"NA")</f>
        <v>NA</v>
      </c>
      <c r="AR23" s="163" t="str">
        <f>IFERROR(IF(ValbyACO_ICC3[[#This Row],[2021 Member Months]]=0,"NA",ValbyACO_ICC3[[#This Row],[2022 TOTAL Non-Truncated Total Expenses]]/ValbyACO_ICC3[[#This Row],[2021 TOTAL Non-Truncated Total Expenses]]-1),"NA")</f>
        <v>NA</v>
      </c>
      <c r="AS23" s="163" t="str">
        <f>IFERROR(IF(ValbyACO_ICC3[[#This Row],[2021 Member Months]]=0,"NA",ValbyACO_ICC3[[#This Row],[2022 TOTAL Truncated Total Expenses]]/ValbyACO_ICC3[[#This Row],[2021 TOTAL Truncated Total Expenses]]-1),"NA")</f>
        <v>NA</v>
      </c>
    </row>
    <row r="24" spans="1:45" x14ac:dyDescent="0.35">
      <c r="A24" s="129"/>
      <c r="B24" s="250">
        <v>103</v>
      </c>
      <c r="C24" s="131" t="s">
        <v>168</v>
      </c>
      <c r="D24" s="192">
        <f>SUMIFS(ACOAETME2021[[#All],[Member Months]], ACOAETME2021[[#All],[Insurance Category Code]], $E$20, ACOAETME2021[[#All],[ACO/AE or Insurer Overall Organization ID]], ValbyACO_ICC3[[#This Row],[Org ID]])</f>
        <v>0</v>
      </c>
      <c r="E24" s="268" t="str">
        <f>IFERROR(IF(ValbyACO_ICC3[[#This Row],[2021 Member Months]]=0,"NA",SUMIFS(ACOAETME2021[[#All],[Claims: Hospital Inpatient]], ACOAETME2021[[#All],[Insurance Category Code]], $E$20, ACOAETME2021[[#All],[ACO/AE or Insurer Overall Organization ID]], ValbyACO_ICC3[[#This Row],[Org ID]])/ValbyACO_ICC3[[#This Row],[2021 Member Months]]), "NA")</f>
        <v>NA</v>
      </c>
      <c r="F24" s="268" t="str">
        <f>IFERROR(IF(ValbyACO_ICC3[[#This Row],[2021 Member Months]]=0,"NA",SUMIFS(ACOAETME2021[[#All],[Claims: Hospital Outpatient]], ACOAETME2021[[#All],[Insurance Category Code]], $E$20, ACOAETME2021[[#All],[ACO/AE or Insurer Overall Organization ID]], ValbyACO_ICC3[[#This Row],[Org ID]])/ValbyACO_ICC3[[#This Row],[2021 Member Months]]), "NA")</f>
        <v>NA</v>
      </c>
      <c r="G24" s="268" t="str">
        <f>IFERROR(IF(ValbyACO_ICC3[[#This Row],[2021 Member Months]]=0,"NA",SUMIFS(ACOAETME2021[[#All],[Claims: Professional, Primary Care]], ACOAETME2021[[#All],[Insurance Category Code]], $E$20, ACOAETME2021[[#All],[ACO/AE or Insurer Overall Organization ID]], ValbyACO_ICC3[[#This Row],[Org ID]])/ValbyACO_ICC3[[#This Row],[2021 Member Months]]), "NA")</f>
        <v>NA</v>
      </c>
      <c r="H24" s="268" t="str">
        <f>IFERROR(IF(ValbyACO_ICC3[[#This Row],[2021 Member Months]]=0,"NA",SUMIFS(ACOAETME2021[[#All],[Claims: Professional, Specialty Care]], ACOAETME2021[[#All],[Insurance Category Code]], $E$20, ACOAETME2021[[#All],[ACO/AE or Insurer Overall Organization ID]], ValbyACO_ICC3[[#This Row],[Org ID]])/ValbyACO_ICC3[[#This Row],[2021 Member Months]]), "NA")</f>
        <v>NA</v>
      </c>
      <c r="I24" s="268" t="str">
        <f>IFERROR(IF(ValbyACO_ICC3[[#This Row],[2021 Member Months]]=0,"NA",SUMIFS(ACOAETME2021[[#All],[Claims: Professional Other]], ACOAETME2021[[#All],[Insurance Category Code]], $E$20, ACOAETME2021[[#All],[ACO/AE or Insurer Overall Organization ID]], ValbyACO_ICC3[[#This Row],[Org ID]])/ValbyACO_ICC3[[#This Row],[2021 Member Months]]), "NA")</f>
        <v>NA</v>
      </c>
      <c r="J24" s="268" t="str">
        <f>IFERROR(IF(ValbyACO_ICC3[[#This Row],[2021 Member Months]]=0,"NA",SUMIFS(ACOAETME2021[[#All],[Claims: Pharmacy]], ACOAETME2021[[#All],[Insurance Category Code]], $E$20, ACOAETME2021[[#All],[ACO/AE or Insurer Overall Organization ID]], ValbyACO_ICC3[[#This Row],[Org ID]])/ValbyACO_ICC3[[#This Row],[2021 Member Months]]), "NA")</f>
        <v>NA</v>
      </c>
      <c r="K24" s="268" t="str">
        <f>IFERROR(IF(ValbyACO_ICC3[[#This Row],[2021 Member Months]]=0,"NA",SUMIFS(ACOAETME2021[[#All],[Claims: Long-Term Care]], ACOAETME2021[[#All],[Insurance Category Code]], $E$20, ACOAETME2021[[#All],[ACO/AE or Insurer Overall Organization ID]], ValbyACO_ICC3[[#This Row],[Org ID]])/ValbyACO_ICC3[[#This Row],[2021 Member Months]]), "NA")</f>
        <v>NA</v>
      </c>
      <c r="L24" s="268" t="str">
        <f>IFERROR(IF(ValbyACO_ICC3[[#This Row],[2021 Member Months]]=0,"NA",SUMIFS(ACOAETME2021[[#All],[Claims: Other]], ACOAETME2021[[#All],[Insurance Category Code]], $E$20, ACOAETME2021[[#All],[ACO/AE or Insurer Overall Organization ID]], ValbyACO_ICC3[[#This Row],[Org ID]])/ValbyACO_ICC3[[#This Row],[2021 Member Months]]), "NA")</f>
        <v>NA</v>
      </c>
      <c r="M24" s="118" t="str">
        <f>IF(ValbyACO_ICC3[[#This Row],[2021 Member Months]]=0,"NA",SUMIFS(ACOAETME2021[[#All],[TOTAL Non-Truncated Unadjusted Claims Expenses]], ACOAETME2021[[#All],[Insurance Category Code]], $E$20, ACOAETME2021[[#All],[ACO/AE or Insurer Overall Organization ID]], ValbyACO_ICC3[[#This Row],[Org ID]])/ValbyACO_ICC3[[#This Row],[2021 Member Months]])</f>
        <v>NA</v>
      </c>
      <c r="N24" s="118" t="str">
        <f>IF(ValbyACO_ICC3[[#This Row],[2021 Member Months]]=0,"NA",SUMIFS(ACOAETME2021[[#All],[TOTAL Truncated Unadjusted Claims Expenses (A19 - A17)]], ACOAETME2021[[#All],[Insurance Category Code]], $E$20, ACOAETME2021[[#All],[ACO/AE or Insurer Overall Organization ID]], ValbyACO_ICC3[[#This Row],[Org ID]])/ValbyACO_ICC3[[#This Row],[2021 Member Months]])</f>
        <v>NA</v>
      </c>
      <c r="O24" s="118" t="str">
        <f>IF(ValbyACO_ICC3[[#This Row],[2021 Member Months]]=0,"NA",SUMIFS(ACOAETME2021[[#All],[TOTAL Non-Claims Expenses]], ACOAETME2021[[#All],[Insurance Category Code]], $E$20, ACOAETME2021[[#All],[ACO/AE or Insurer Overall Organization ID]], ValbyACO_ICC3[[#This Row],[Org ID]])/ValbyACO_ICC3[[#This Row],[2021 Member Months]])</f>
        <v>NA</v>
      </c>
      <c r="P24" s="350" t="str">
        <f>IF(ValbyACO_ICC3[[#This Row],[2021 Member Months]]=0, "NA", SUMIFS(ACOAETME2021[[#All],[TOTAL Non-Truncated Unadjusted Expenses 
(A19+A21)]], ACOAETME2021[[#All],[Insurance Category Code]], $E$20, ACOAETME2021[[#All],[ACO/AE or Insurer Overall Organization ID]], ValbyACO_ICC3[[#This Row],[Org ID]])/ValbyACO_ICC3[[#This Row],[2021 Member Months]])</f>
        <v>NA</v>
      </c>
      <c r="Q24" s="119" t="str">
        <f>IF(ValbyACO_ICC3[[#This Row],[2021 Member Months]]=0, "NA", SUMIFS(ACOAETME2021[[#All],[TOTAL Truncated Unadjusted Expenses (A20+A21)]], ACOAETME2021[[#All],[Insurance Category Code]], $E$20, ACOAETME2021[[#All],[ACO/AE or Insurer Overall Organization ID]], ValbyACO_ICC3[[#This Row],[Org ID]])/ValbyACO_ICC3[[#This Row],[2021 Member Months]])</f>
        <v>NA</v>
      </c>
      <c r="R24" s="192">
        <f>SUMIFS(ACOAETME2022[[#All],[Member Months]],ACOAETME2022[[#All],[Insurance Category Code]],$E$20,ACOAETME2022[[#All],[ACO/AE or Insurer Overall Organization ID]],ValbyACO_ICC3[[#This Row],[Org ID]])</f>
        <v>0</v>
      </c>
      <c r="S24" s="118" t="str">
        <f>IF(ValbyACO_ICC3[[#This Row],[2022 Member Months]]=0,"NA",SUMIFS(ACOAETME2022[[#All],[Claims: Hospital Inpatient]],ACOAETME2022[[#All],[Insurance Category Code]],$E$20,ACOAETME2022[[#All],[ACO/AE or Insurer Overall Organization ID]],ValbyACO_ICC3[[#This Row],[Org ID]])/ValbyACO_ICC3[[#This Row],[2022 Member Months]])</f>
        <v>NA</v>
      </c>
      <c r="T24" s="118" t="str">
        <f>IF(ValbyACO_ICC3[[#This Row],[2022 Member Months]]=0,"NA",SUMIFS(ACOAETME2022[[#All],[Claims: Hospital Outpatient]],ACOAETME2022[[#All],[Insurance Category Code]],$E$20,ACOAETME2022[[#All],[ACO/AE or Insurer Overall Organization ID]],ValbyACO_ICC3[[#This Row],[Org ID]])/ValbyACO_ICC3[[#This Row],[2022 Member Months]])</f>
        <v>NA</v>
      </c>
      <c r="U24" s="118" t="str">
        <f>IF(ValbyACO_ICC3[[#This Row],[2022 Member Months]]=0,"NA",SUMIFS(ACOAETME2022[[#All],[Claims: Professional, Primary Care]],ACOAETME2022[[#All],[Insurance Category Code]],$E$20,ACOAETME2022[[#All],[ACO/AE or Insurer Overall Organization ID]],ValbyACO_ICC3[[#This Row],[Org ID]])/ValbyACO_ICC3[[#This Row],[2022 Member Months]])</f>
        <v>NA</v>
      </c>
      <c r="V24" s="118" t="str">
        <f>IF(ValbyACO_ICC3[[#This Row],[2022 Member Months]]=0,"NA",SUMIFS(ACOAETME2022[[#All],[Claims: Professional, Specialty Care]],ACOAETME2022[[#All],[Insurance Category Code]],$E$20,ACOAETME2022[[#All],[ACO/AE or Insurer Overall Organization ID]],ValbyACO_ICC3[[#This Row],[Org ID]])/ValbyACO_ICC3[[#This Row],[2022 Member Months]])</f>
        <v>NA</v>
      </c>
      <c r="W24" s="118" t="str">
        <f>IF(ValbyACO_ICC3[[#This Row],[2022 Member Months]]=0,"NA",SUMIFS(ACOAETME2022[[#All],[Claims: Professional Other]],ACOAETME2022[[#All],[Insurance Category Code]],$E$20,ACOAETME2022[[#All],[ACO/AE or Insurer Overall Organization ID]],ValbyACO_ICC3[[#This Row],[Org ID]])/ValbyACO_ICC3[[#This Row],[2022 Member Months]])</f>
        <v>NA</v>
      </c>
      <c r="X24" s="118" t="str">
        <f>IF(ValbyACO_ICC3[[#This Row],[2022 Member Months]]=0,"NA",SUMIFS(ACOAETME2022[[#All],[Claims: Pharmacy]],ACOAETME2022[[#All],[Insurance Category Code]],$E$20,ACOAETME2022[[#All],[ACO/AE or Insurer Overall Organization ID]],ValbyACO_ICC3[[#This Row],[Org ID]])/ValbyACO_ICC3[[#This Row],[2022 Member Months]])</f>
        <v>NA</v>
      </c>
      <c r="Y24" s="118" t="str">
        <f>IF(ValbyACO_ICC3[[#This Row],[2022 Member Months]]=0,"NA",SUMIFS(ACOAETME2022[[#All],[Claims: Long-Term Care]],ACOAETME2022[[#All],[Insurance Category Code]],$E$20,ACOAETME2022[[#All],[ACO/AE or Insurer Overall Organization ID]],ValbyACO_ICC3[[#This Row],[Org ID]])/ValbyACO_ICC3[[#This Row],[2022 Member Months]])</f>
        <v>NA</v>
      </c>
      <c r="Z24" s="118" t="str">
        <f>IF(ValbyACO_ICC3[[#This Row],[2022 Member Months]]=0,"NA",SUMIFS(ACOAETME2022[[#All],[Claims: Other]],ACOAETME2022[[#All],[Insurance Category Code]],$E$20,ACOAETME2022[[#All],[ACO/AE or Insurer Overall Organization ID]],ValbyACO_ICC3[[#This Row],[Org ID]])/ValbyACO_ICC3[[#This Row],[2022 Member Months]])</f>
        <v>NA</v>
      </c>
      <c r="AA24" s="118" t="str">
        <f>IF(ValbyACO_ICC3[[#This Row],[2022 Member Months]]=0,"NA",SUMIFS(ACOAETME2022[[#All],[TOTAL Non-Truncated Unadjusted Claims Expenses]],ACOAETME2022[[#All],[Insurance Category Code]],$E$20,ACOAETME2022[[#All],[ACO/AE or Insurer Overall Organization ID]],ValbyACO_ICC3[[#This Row],[Org ID]])/ValbyACO_ICC3[[#This Row],[2022 Member Months]])</f>
        <v>NA</v>
      </c>
      <c r="AB24" s="118" t="str">
        <f>IF(ValbyACO_ICC3[[#This Row],[2022 Member Months]]=0,"NA",SUMIFS(ACOAETME2022[[#All],[TOTAL Truncated Unadjusted Expenses (A20+A21)]],ACOAETME2022[[#All],[Insurance Category Code]],$E$20,ACOAETME2022[[#All],[ACO/AE or Insurer Overall Organization ID]],ValbyACO_ICC3[[#This Row],[Org ID]])/ValbyACO_ICC3[[#This Row],[2022 Member Months]])</f>
        <v>NA</v>
      </c>
      <c r="AC24" s="118" t="str">
        <f>IF(ValbyACO_ICC3[[#This Row],[2022 Member Months]]=0,"NA",SUMIFS(ACOAETME2022[[#All],[TOTAL Non-Claims Expenses]],ACOAETME2022[[#All],[Insurance Category Code]],$E$20,ACOAETME2022[[#All],[ACO/AE or Insurer Overall Organization ID]],ValbyACO_ICC3[[#This Row],[Org ID]])/ValbyACO_ICC3[[#This Row],[2022 Member Months]])</f>
        <v>NA</v>
      </c>
      <c r="AD24" s="118" t="str">
        <f>IF(ValbyACO_ICC3[[#This Row],[2022 Member Months]]=0,"NA",SUMIFS(ACOAETME2022[[#All],[TOTAL Non-Truncated Unadjusted Expenses 
(A19+A21)]],ACOAETME2022[[#All],[Insurance Category Code]],$E$20,ACOAETME2022[[#All],[ACO/AE or Insurer Overall Organization ID]],ValbyACO_ICC3[[#This Row],[Org ID]])/ValbyACO_ICC3[[#This Row],[2022 Member Months]])</f>
        <v>NA</v>
      </c>
      <c r="AE24" s="119" t="str">
        <f>IF(ValbyACO_ICC3[[#This Row],[2022 Member Months]]=0,"NA",SUMIFS(ACOAETME2022[[#All],[TOTAL Truncated Unadjusted Expenses (A20+A21)]],ACOAETME2022[[#All],[Insurance Category Code]],$E$20,ACOAETME2022[[#All],[ACO/AE or Insurer Overall Organization ID]],ValbyACO_ICC3[[#This Row],[Org ID]])/ValbyACO_ICC3[[#This Row],[2022 Member Months]])</f>
        <v>NA</v>
      </c>
      <c r="AF24" s="160" t="str">
        <f>IFERROR(IF(ValbyACO_ICC3[[#This Row],[2021 Member Months]]=0,"NA",ValbyACO_ICC3[[#This Row],[2022 Member Months]]/ValbyACO_ICC3[[#This Row],[2021 Member Months]]-1),"NA")</f>
        <v>NA</v>
      </c>
      <c r="AG24" s="161" t="str">
        <f>IFERROR(IF(ValbyACO_ICC3[[#This Row],[2021 Member Months]]=0,"NA",ValbyACO_ICC3[[#This Row],[2022 Claims: Hospital Inpatient]]/ValbyACO_ICC3[[#This Row],[2021 Claims: Hospital Inpatient]]-1),"NA")</f>
        <v>NA</v>
      </c>
      <c r="AH24" s="162" t="str">
        <f>IFERROR(IF(ValbyACO_ICC3[[#This Row],[2021 Member Months]]=0,"NA",ValbyACO_ICC3[[#This Row],[2022 Claims: Hospital Outpatient]]/ValbyACO_ICC3[[#This Row],[2021 Claims: Hospital Outpatient]]-1),"NA")</f>
        <v>NA</v>
      </c>
      <c r="AI24" s="162" t="str">
        <f>IFERROR(IF(ValbyACO_ICC3[[#This Row],[2021 Member Months]]=0,"NA",ValbyACO_ICC3[[#This Row],[2022 Claims: Professional, Primary Care]]/ValbyACO_ICC3[[#This Row],[2021 Claims: Professional, Primary Care]]-1),"NA")</f>
        <v>NA</v>
      </c>
      <c r="AJ24" s="162" t="str">
        <f>IFERROR(IF(ValbyACO_ICC3[[#This Row],[2021 Member Months]]=0,"NA",ValbyACO_ICC3[[#This Row],[2022 Claims: Professional, Specialty Care]]/ValbyACO_ICC3[[#This Row],[2021 Claims: Professional, Specialty Care]]-1),"NA")</f>
        <v>NA</v>
      </c>
      <c r="AK24" s="162" t="str">
        <f>IFERROR(IF(ValbyACO_ICC3[[#This Row],[2021 Member Months]]=0,"NA", ValbyACO_ICC3[[#This Row],[2022 Claims: Professional Other]]/ValbyACO_ICC3[[#This Row],[2021 Claims: Professional Other]]-1),"NA")</f>
        <v>NA</v>
      </c>
      <c r="AL24" s="162" t="str">
        <f>IFERROR(IF(ValbyACO_ICC3[[#This Row],[2021 Member Months]]=0,"NA",ValbyACO_ICC3[[#This Row],[2022 Claims: Pharmacy (Gross of Retail Pharmacy Rebates)]]/ValbyACO_ICC3[[#This Row],[2021 Claims: Pharmacy (Gross of  Rebates)]]-1),"NA")</f>
        <v>NA</v>
      </c>
      <c r="AM24" s="162" t="str">
        <f>IFERROR(IF(ValbyACO_ICC3[[#This Row],[2021 Member Months]]=0,"NA",ValbyACO_ICC3[[#This Row],[2022 Claims: Long-term Care]]/ValbyACO_ICC3[[#This Row],[2021 Claims: Long-term Care]]-1),"NA")</f>
        <v>NA</v>
      </c>
      <c r="AN24" s="162" t="str">
        <f>IFERROR(IF(ValbyACO_ICC3[[#This Row],[2021 Member Months]]=0,"NA",ValbyACO_ICC3[[#This Row],[2022 Claims: Other]]/ValbyACO_ICC3[[#This Row],[2021 Claims: Other]]-1),"NA")</f>
        <v>NA</v>
      </c>
      <c r="AO24" s="163" t="str">
        <f>IFERROR(IF(ValbyACO_ICC3[[#This Row],[2021 Member Months]]=0,"NA",ValbyACO_ICC3[[#This Row],[2022 TOTAL Non-Truncated Claims Expenses]]/ValbyACO_ICC3[[#This Row],[2021 TOTAL Non-Truncated Claims Expenses]]-1),"NA")</f>
        <v>NA</v>
      </c>
      <c r="AP24" s="163" t="str">
        <f>IFERROR(IF(ValbyACO_ICC3[[#This Row],[2021 Member Months]]=0,"NA",ValbyACO_ICC3[[#This Row],[2022 TOTAL Truncated Claims Expenses]]/ValbyACO_ICC3[[#This Row],[2021 TOTAL Truncated Claims Expenses]]-1),"NA")</f>
        <v>NA</v>
      </c>
      <c r="AQ24" s="163" t="str">
        <f>IFERROR(IF(ValbyACO_ICC3[[#This Row],[2021 Member Months]]=0,"NA",ValbyACO_ICC3[[#This Row],[2022 TOTAL Non-Claims Expenses]]/ValbyACO_ICC3[[#This Row],[2021 TOTAL Non-Claims Expenses]]-1),"NA")</f>
        <v>NA</v>
      </c>
      <c r="AR24" s="163" t="str">
        <f>IFERROR(IF(ValbyACO_ICC3[[#This Row],[2021 Member Months]]=0,"NA",ValbyACO_ICC3[[#This Row],[2022 TOTAL Non-Truncated Total Expenses]]/ValbyACO_ICC3[[#This Row],[2021 TOTAL Non-Truncated Total Expenses]]-1),"NA")</f>
        <v>NA</v>
      </c>
      <c r="AS24" s="163" t="str">
        <f>IFERROR(IF(ValbyACO_ICC3[[#This Row],[2021 Member Months]]=0,"NA",ValbyACO_ICC3[[#This Row],[2022 TOTAL Truncated Total Expenses]]/ValbyACO_ICC3[[#This Row],[2021 TOTAL Truncated Total Expenses]]-1),"NA")</f>
        <v>NA</v>
      </c>
    </row>
    <row r="25" spans="1:45" x14ac:dyDescent="0.35">
      <c r="A25" s="129"/>
      <c r="B25" s="250">
        <v>104</v>
      </c>
      <c r="C25" s="131" t="s">
        <v>191</v>
      </c>
      <c r="D25" s="192">
        <f>SUMIFS(ACOAETME2021[[#All],[Member Months]], ACOAETME2021[[#All],[Insurance Category Code]], $E$20, ACOAETME2021[[#All],[ACO/AE or Insurer Overall Organization ID]], ValbyACO_ICC3[[#This Row],[Org ID]])</f>
        <v>0</v>
      </c>
      <c r="E25" s="268" t="str">
        <f>IFERROR(IF(ValbyACO_ICC3[[#This Row],[2021 Member Months]]=0,"NA",SUMIFS(ACOAETME2021[[#All],[Claims: Hospital Inpatient]], ACOAETME2021[[#All],[Insurance Category Code]], $E$20, ACOAETME2021[[#All],[ACO/AE or Insurer Overall Organization ID]], ValbyACO_ICC3[[#This Row],[Org ID]])/ValbyACO_ICC3[[#This Row],[2021 Member Months]]), "NA")</f>
        <v>NA</v>
      </c>
      <c r="F25" s="268" t="str">
        <f>IFERROR(IF(ValbyACO_ICC3[[#This Row],[2021 Member Months]]=0,"NA",SUMIFS(ACOAETME2021[[#All],[Claims: Hospital Outpatient]], ACOAETME2021[[#All],[Insurance Category Code]], $E$20, ACOAETME2021[[#All],[ACO/AE or Insurer Overall Organization ID]], ValbyACO_ICC3[[#This Row],[Org ID]])/ValbyACO_ICC3[[#This Row],[2021 Member Months]]), "NA")</f>
        <v>NA</v>
      </c>
      <c r="G25" s="268" t="str">
        <f>IFERROR(IF(ValbyACO_ICC3[[#This Row],[2021 Member Months]]=0,"NA",SUMIFS(ACOAETME2021[[#All],[Claims: Professional, Primary Care]], ACOAETME2021[[#All],[Insurance Category Code]], $E$20, ACOAETME2021[[#All],[ACO/AE or Insurer Overall Organization ID]], ValbyACO_ICC3[[#This Row],[Org ID]])/ValbyACO_ICC3[[#This Row],[2021 Member Months]]), "NA")</f>
        <v>NA</v>
      </c>
      <c r="H25" s="268" t="str">
        <f>IFERROR(IF(ValbyACO_ICC3[[#This Row],[2021 Member Months]]=0,"NA",SUMIFS(ACOAETME2021[[#All],[Claims: Professional, Specialty Care]], ACOAETME2021[[#All],[Insurance Category Code]], $E$20, ACOAETME2021[[#All],[ACO/AE or Insurer Overall Organization ID]], ValbyACO_ICC3[[#This Row],[Org ID]])/ValbyACO_ICC3[[#This Row],[2021 Member Months]]), "NA")</f>
        <v>NA</v>
      </c>
      <c r="I25" s="268" t="str">
        <f>IFERROR(IF(ValbyACO_ICC3[[#This Row],[2021 Member Months]]=0,"NA",SUMIFS(ACOAETME2021[[#All],[Claims: Professional Other]], ACOAETME2021[[#All],[Insurance Category Code]], $E$20, ACOAETME2021[[#All],[ACO/AE or Insurer Overall Organization ID]], ValbyACO_ICC3[[#This Row],[Org ID]])/ValbyACO_ICC3[[#This Row],[2021 Member Months]]), "NA")</f>
        <v>NA</v>
      </c>
      <c r="J25" s="268" t="str">
        <f>IFERROR(IF(ValbyACO_ICC3[[#This Row],[2021 Member Months]]=0,"NA",SUMIFS(ACOAETME2021[[#All],[Claims: Pharmacy]], ACOAETME2021[[#All],[Insurance Category Code]], $E$20, ACOAETME2021[[#All],[ACO/AE or Insurer Overall Organization ID]], ValbyACO_ICC3[[#This Row],[Org ID]])/ValbyACO_ICC3[[#This Row],[2021 Member Months]]), "NA")</f>
        <v>NA</v>
      </c>
      <c r="K25" s="268" t="str">
        <f>IFERROR(IF(ValbyACO_ICC3[[#This Row],[2021 Member Months]]=0,"NA",SUMIFS(ACOAETME2021[[#All],[Claims: Long-Term Care]], ACOAETME2021[[#All],[Insurance Category Code]], $E$20, ACOAETME2021[[#All],[ACO/AE or Insurer Overall Organization ID]], ValbyACO_ICC3[[#This Row],[Org ID]])/ValbyACO_ICC3[[#This Row],[2021 Member Months]]), "NA")</f>
        <v>NA</v>
      </c>
      <c r="L25" s="268" t="str">
        <f>IFERROR(IF(ValbyACO_ICC3[[#This Row],[2021 Member Months]]=0,"NA",SUMIFS(ACOAETME2021[[#All],[Claims: Other]], ACOAETME2021[[#All],[Insurance Category Code]], $E$20, ACOAETME2021[[#All],[ACO/AE or Insurer Overall Organization ID]], ValbyACO_ICC3[[#This Row],[Org ID]])/ValbyACO_ICC3[[#This Row],[2021 Member Months]]), "NA")</f>
        <v>NA</v>
      </c>
      <c r="M25" s="118" t="str">
        <f>IF(ValbyACO_ICC3[[#This Row],[2021 Member Months]]=0,"NA",SUMIFS(ACOAETME2021[[#All],[TOTAL Non-Truncated Unadjusted Claims Expenses]], ACOAETME2021[[#All],[Insurance Category Code]], $E$20, ACOAETME2021[[#All],[ACO/AE or Insurer Overall Organization ID]], ValbyACO_ICC3[[#This Row],[Org ID]])/ValbyACO_ICC3[[#This Row],[2021 Member Months]])</f>
        <v>NA</v>
      </c>
      <c r="N25" s="118" t="str">
        <f>IF(ValbyACO_ICC3[[#This Row],[2021 Member Months]]=0,"NA",SUMIFS(ACOAETME2021[[#All],[TOTAL Truncated Unadjusted Claims Expenses (A19 - A17)]], ACOAETME2021[[#All],[Insurance Category Code]], $E$20, ACOAETME2021[[#All],[ACO/AE or Insurer Overall Organization ID]], ValbyACO_ICC3[[#This Row],[Org ID]])/ValbyACO_ICC3[[#This Row],[2021 Member Months]])</f>
        <v>NA</v>
      </c>
      <c r="O25" s="118" t="str">
        <f>IF(ValbyACO_ICC3[[#This Row],[2021 Member Months]]=0,"NA",SUMIFS(ACOAETME2021[[#All],[TOTAL Non-Claims Expenses]], ACOAETME2021[[#All],[Insurance Category Code]], $E$20, ACOAETME2021[[#All],[ACO/AE or Insurer Overall Organization ID]], ValbyACO_ICC3[[#This Row],[Org ID]])/ValbyACO_ICC3[[#This Row],[2021 Member Months]])</f>
        <v>NA</v>
      </c>
      <c r="P25" s="350" t="str">
        <f>IF(ValbyACO_ICC3[[#This Row],[2021 Member Months]]=0, "NA", SUMIFS(ACOAETME2021[[#All],[TOTAL Non-Truncated Unadjusted Expenses 
(A19+A21)]], ACOAETME2021[[#All],[Insurance Category Code]], $E$20, ACOAETME2021[[#All],[ACO/AE or Insurer Overall Organization ID]], ValbyACO_ICC3[[#This Row],[Org ID]])/ValbyACO_ICC3[[#This Row],[2021 Member Months]])</f>
        <v>NA</v>
      </c>
      <c r="Q25" s="119" t="str">
        <f>IF(ValbyACO_ICC3[[#This Row],[2021 Member Months]]=0, "NA", SUMIFS(ACOAETME2021[[#All],[TOTAL Truncated Unadjusted Expenses (A20+A21)]], ACOAETME2021[[#All],[Insurance Category Code]], $E$20, ACOAETME2021[[#All],[ACO/AE or Insurer Overall Organization ID]], ValbyACO_ICC3[[#This Row],[Org ID]])/ValbyACO_ICC3[[#This Row],[2021 Member Months]])</f>
        <v>NA</v>
      </c>
      <c r="R25" s="192">
        <f>SUMIFS(ACOAETME2022[[#All],[Member Months]],ACOAETME2022[[#All],[Insurance Category Code]],$E$20,ACOAETME2022[[#All],[ACO/AE or Insurer Overall Organization ID]],ValbyACO_ICC3[[#This Row],[Org ID]])</f>
        <v>0</v>
      </c>
      <c r="S25" s="118" t="str">
        <f>IF(ValbyACO_ICC3[[#This Row],[2022 Member Months]]=0,"NA",SUMIFS(ACOAETME2022[[#All],[Claims: Hospital Inpatient]],ACOAETME2022[[#All],[Insurance Category Code]],$E$20,ACOAETME2022[[#All],[ACO/AE or Insurer Overall Organization ID]],ValbyACO_ICC3[[#This Row],[Org ID]])/ValbyACO_ICC3[[#This Row],[2022 Member Months]])</f>
        <v>NA</v>
      </c>
      <c r="T25" s="118" t="str">
        <f>IF(ValbyACO_ICC3[[#This Row],[2022 Member Months]]=0,"NA",SUMIFS(ACOAETME2022[[#All],[Claims: Hospital Outpatient]],ACOAETME2022[[#All],[Insurance Category Code]],$E$20,ACOAETME2022[[#All],[ACO/AE or Insurer Overall Organization ID]],ValbyACO_ICC3[[#This Row],[Org ID]])/ValbyACO_ICC3[[#This Row],[2022 Member Months]])</f>
        <v>NA</v>
      </c>
      <c r="U25" s="118" t="str">
        <f>IF(ValbyACO_ICC3[[#This Row],[2022 Member Months]]=0,"NA",SUMIFS(ACOAETME2022[[#All],[Claims: Professional, Primary Care]],ACOAETME2022[[#All],[Insurance Category Code]],$E$20,ACOAETME2022[[#All],[ACO/AE or Insurer Overall Organization ID]],ValbyACO_ICC3[[#This Row],[Org ID]])/ValbyACO_ICC3[[#This Row],[2022 Member Months]])</f>
        <v>NA</v>
      </c>
      <c r="V25" s="118" t="str">
        <f>IF(ValbyACO_ICC3[[#This Row],[2022 Member Months]]=0,"NA",SUMIFS(ACOAETME2022[[#All],[Claims: Professional, Specialty Care]],ACOAETME2022[[#All],[Insurance Category Code]],$E$20,ACOAETME2022[[#All],[ACO/AE or Insurer Overall Organization ID]],ValbyACO_ICC3[[#This Row],[Org ID]])/ValbyACO_ICC3[[#This Row],[2022 Member Months]])</f>
        <v>NA</v>
      </c>
      <c r="W25" s="118" t="str">
        <f>IF(ValbyACO_ICC3[[#This Row],[2022 Member Months]]=0,"NA",SUMIFS(ACOAETME2022[[#All],[Claims: Professional Other]],ACOAETME2022[[#All],[Insurance Category Code]],$E$20,ACOAETME2022[[#All],[ACO/AE or Insurer Overall Organization ID]],ValbyACO_ICC3[[#This Row],[Org ID]])/ValbyACO_ICC3[[#This Row],[2022 Member Months]])</f>
        <v>NA</v>
      </c>
      <c r="X25" s="118" t="str">
        <f>IF(ValbyACO_ICC3[[#This Row],[2022 Member Months]]=0,"NA",SUMIFS(ACOAETME2022[[#All],[Claims: Pharmacy]],ACOAETME2022[[#All],[Insurance Category Code]],$E$20,ACOAETME2022[[#All],[ACO/AE or Insurer Overall Organization ID]],ValbyACO_ICC3[[#This Row],[Org ID]])/ValbyACO_ICC3[[#This Row],[2022 Member Months]])</f>
        <v>NA</v>
      </c>
      <c r="Y25" s="118" t="str">
        <f>IF(ValbyACO_ICC3[[#This Row],[2022 Member Months]]=0,"NA",SUMIFS(ACOAETME2022[[#All],[Claims: Long-Term Care]],ACOAETME2022[[#All],[Insurance Category Code]],$E$20,ACOAETME2022[[#All],[ACO/AE or Insurer Overall Organization ID]],ValbyACO_ICC3[[#This Row],[Org ID]])/ValbyACO_ICC3[[#This Row],[2022 Member Months]])</f>
        <v>NA</v>
      </c>
      <c r="Z25" s="118" t="str">
        <f>IF(ValbyACO_ICC3[[#This Row],[2022 Member Months]]=0,"NA",SUMIFS(ACOAETME2022[[#All],[Claims: Other]],ACOAETME2022[[#All],[Insurance Category Code]],$E$20,ACOAETME2022[[#All],[ACO/AE or Insurer Overall Organization ID]],ValbyACO_ICC3[[#This Row],[Org ID]])/ValbyACO_ICC3[[#This Row],[2022 Member Months]])</f>
        <v>NA</v>
      </c>
      <c r="AA25" s="118" t="str">
        <f>IF(ValbyACO_ICC3[[#This Row],[2022 Member Months]]=0,"NA",SUMIFS(ACOAETME2022[[#All],[TOTAL Non-Truncated Unadjusted Claims Expenses]],ACOAETME2022[[#All],[Insurance Category Code]],$E$20,ACOAETME2022[[#All],[ACO/AE or Insurer Overall Organization ID]],ValbyACO_ICC3[[#This Row],[Org ID]])/ValbyACO_ICC3[[#This Row],[2022 Member Months]])</f>
        <v>NA</v>
      </c>
      <c r="AB25" s="118" t="str">
        <f>IF(ValbyACO_ICC3[[#This Row],[2022 Member Months]]=0,"NA",SUMIFS(ACOAETME2022[[#All],[TOTAL Truncated Unadjusted Expenses (A20+A21)]],ACOAETME2022[[#All],[Insurance Category Code]],$E$20,ACOAETME2022[[#All],[ACO/AE or Insurer Overall Organization ID]],ValbyACO_ICC3[[#This Row],[Org ID]])/ValbyACO_ICC3[[#This Row],[2022 Member Months]])</f>
        <v>NA</v>
      </c>
      <c r="AC25" s="118" t="str">
        <f>IF(ValbyACO_ICC3[[#This Row],[2022 Member Months]]=0,"NA",SUMIFS(ACOAETME2022[[#All],[TOTAL Non-Claims Expenses]],ACOAETME2022[[#All],[Insurance Category Code]],$E$20,ACOAETME2022[[#All],[ACO/AE or Insurer Overall Organization ID]],ValbyACO_ICC3[[#This Row],[Org ID]])/ValbyACO_ICC3[[#This Row],[2022 Member Months]])</f>
        <v>NA</v>
      </c>
      <c r="AD25" s="118" t="str">
        <f>IF(ValbyACO_ICC3[[#This Row],[2022 Member Months]]=0,"NA",SUMIFS(ACOAETME2022[[#All],[TOTAL Non-Truncated Unadjusted Expenses 
(A19+A21)]],ACOAETME2022[[#All],[Insurance Category Code]],$E$20,ACOAETME2022[[#All],[ACO/AE or Insurer Overall Organization ID]],ValbyACO_ICC3[[#This Row],[Org ID]])/ValbyACO_ICC3[[#This Row],[2022 Member Months]])</f>
        <v>NA</v>
      </c>
      <c r="AE25" s="119" t="str">
        <f>IF(ValbyACO_ICC3[[#This Row],[2022 Member Months]]=0,"NA",SUMIFS(ACOAETME2022[[#All],[TOTAL Truncated Unadjusted Expenses (A20+A21)]],ACOAETME2022[[#All],[Insurance Category Code]],$E$20,ACOAETME2022[[#All],[ACO/AE or Insurer Overall Organization ID]],ValbyACO_ICC3[[#This Row],[Org ID]])/ValbyACO_ICC3[[#This Row],[2022 Member Months]])</f>
        <v>NA</v>
      </c>
      <c r="AF25" s="160" t="str">
        <f>IFERROR(IF(ValbyACO_ICC3[[#This Row],[2021 Member Months]]=0,"NA",ValbyACO_ICC3[[#This Row],[2022 Member Months]]/ValbyACO_ICC3[[#This Row],[2021 Member Months]]-1),"NA")</f>
        <v>NA</v>
      </c>
      <c r="AG25" s="161" t="str">
        <f>IFERROR(IF(ValbyACO_ICC3[[#This Row],[2021 Member Months]]=0,"NA",ValbyACO_ICC3[[#This Row],[2022 Claims: Hospital Inpatient]]/ValbyACO_ICC3[[#This Row],[2021 Claims: Hospital Inpatient]]-1),"NA")</f>
        <v>NA</v>
      </c>
      <c r="AH25" s="162" t="str">
        <f>IFERROR(IF(ValbyACO_ICC3[[#This Row],[2021 Member Months]]=0,"NA",ValbyACO_ICC3[[#This Row],[2022 Claims: Hospital Outpatient]]/ValbyACO_ICC3[[#This Row],[2021 Claims: Hospital Outpatient]]-1),"NA")</f>
        <v>NA</v>
      </c>
      <c r="AI25" s="162" t="str">
        <f>IFERROR(IF(ValbyACO_ICC3[[#This Row],[2021 Member Months]]=0,"NA",ValbyACO_ICC3[[#This Row],[2022 Claims: Professional, Primary Care]]/ValbyACO_ICC3[[#This Row],[2021 Claims: Professional, Primary Care]]-1),"NA")</f>
        <v>NA</v>
      </c>
      <c r="AJ25" s="162" t="str">
        <f>IFERROR(IF(ValbyACO_ICC3[[#This Row],[2021 Member Months]]=0,"NA",ValbyACO_ICC3[[#This Row],[2022 Claims: Professional, Specialty Care]]/ValbyACO_ICC3[[#This Row],[2021 Claims: Professional, Specialty Care]]-1),"NA")</f>
        <v>NA</v>
      </c>
      <c r="AK25" s="162" t="str">
        <f>IFERROR(IF(ValbyACO_ICC3[[#This Row],[2021 Member Months]]=0,"NA", ValbyACO_ICC3[[#This Row],[2022 Claims: Professional Other]]/ValbyACO_ICC3[[#This Row],[2021 Claims: Professional Other]]-1),"NA")</f>
        <v>NA</v>
      </c>
      <c r="AL25" s="162" t="str">
        <f>IFERROR(IF(ValbyACO_ICC3[[#This Row],[2021 Member Months]]=0,"NA",ValbyACO_ICC3[[#This Row],[2022 Claims: Pharmacy (Gross of Retail Pharmacy Rebates)]]/ValbyACO_ICC3[[#This Row],[2021 Claims: Pharmacy (Gross of  Rebates)]]-1),"NA")</f>
        <v>NA</v>
      </c>
      <c r="AM25" s="162" t="str">
        <f>IFERROR(IF(ValbyACO_ICC3[[#This Row],[2021 Member Months]]=0,"NA",ValbyACO_ICC3[[#This Row],[2022 Claims: Long-term Care]]/ValbyACO_ICC3[[#This Row],[2021 Claims: Long-term Care]]-1),"NA")</f>
        <v>NA</v>
      </c>
      <c r="AN25" s="162" t="str">
        <f>IFERROR(IF(ValbyACO_ICC3[[#This Row],[2021 Member Months]]=0,"NA",ValbyACO_ICC3[[#This Row],[2022 Claims: Other]]/ValbyACO_ICC3[[#This Row],[2021 Claims: Other]]-1),"NA")</f>
        <v>NA</v>
      </c>
      <c r="AO25" s="163" t="str">
        <f>IFERROR(IF(ValbyACO_ICC3[[#This Row],[2021 Member Months]]=0,"NA",ValbyACO_ICC3[[#This Row],[2022 TOTAL Non-Truncated Claims Expenses]]/ValbyACO_ICC3[[#This Row],[2021 TOTAL Non-Truncated Claims Expenses]]-1),"NA")</f>
        <v>NA</v>
      </c>
      <c r="AP25" s="163" t="str">
        <f>IFERROR(IF(ValbyACO_ICC3[[#This Row],[2021 Member Months]]=0,"NA",ValbyACO_ICC3[[#This Row],[2022 TOTAL Truncated Claims Expenses]]/ValbyACO_ICC3[[#This Row],[2021 TOTAL Truncated Claims Expenses]]-1),"NA")</f>
        <v>NA</v>
      </c>
      <c r="AQ25" s="163" t="str">
        <f>IFERROR(IF(ValbyACO_ICC3[[#This Row],[2021 Member Months]]=0,"NA",ValbyACO_ICC3[[#This Row],[2022 TOTAL Non-Claims Expenses]]/ValbyACO_ICC3[[#This Row],[2021 TOTAL Non-Claims Expenses]]-1),"NA")</f>
        <v>NA</v>
      </c>
      <c r="AR25" s="163" t="str">
        <f>IFERROR(IF(ValbyACO_ICC3[[#This Row],[2021 Member Months]]=0,"NA",ValbyACO_ICC3[[#This Row],[2022 TOTAL Non-Truncated Total Expenses]]/ValbyACO_ICC3[[#This Row],[2021 TOTAL Non-Truncated Total Expenses]]-1),"NA")</f>
        <v>NA</v>
      </c>
      <c r="AS25" s="163" t="str">
        <f>IFERROR(IF(ValbyACO_ICC3[[#This Row],[2021 Member Months]]=0,"NA",ValbyACO_ICC3[[#This Row],[2022 TOTAL Truncated Total Expenses]]/ValbyACO_ICC3[[#This Row],[2021 TOTAL Truncated Total Expenses]]-1),"NA")</f>
        <v>NA</v>
      </c>
    </row>
    <row r="26" spans="1:45" x14ac:dyDescent="0.35">
      <c r="A26" s="129"/>
      <c r="B26" s="250">
        <v>105</v>
      </c>
      <c r="C26" s="131" t="s">
        <v>169</v>
      </c>
      <c r="D26" s="192">
        <f>SUMIFS(ACOAETME2021[[#All],[Member Months]], ACOAETME2021[[#All],[Insurance Category Code]], $E$20, ACOAETME2021[[#All],[ACO/AE or Insurer Overall Organization ID]], ValbyACO_ICC3[[#This Row],[Org ID]])</f>
        <v>0</v>
      </c>
      <c r="E26" s="268" t="str">
        <f>IFERROR(IF(ValbyACO_ICC3[[#This Row],[2021 Member Months]]=0,"NA",SUMIFS(ACOAETME2021[[#All],[Claims: Hospital Inpatient]], ACOAETME2021[[#All],[Insurance Category Code]], $E$20, ACOAETME2021[[#All],[ACO/AE or Insurer Overall Organization ID]], ValbyACO_ICC3[[#This Row],[Org ID]])/ValbyACO_ICC3[[#This Row],[2021 Member Months]]), "NA")</f>
        <v>NA</v>
      </c>
      <c r="F26" s="268" t="str">
        <f>IFERROR(IF(ValbyACO_ICC3[[#This Row],[2021 Member Months]]=0,"NA",SUMIFS(ACOAETME2021[[#All],[Claims: Hospital Outpatient]], ACOAETME2021[[#All],[Insurance Category Code]], $E$20, ACOAETME2021[[#All],[ACO/AE or Insurer Overall Organization ID]], ValbyACO_ICC3[[#This Row],[Org ID]])/ValbyACO_ICC3[[#This Row],[2021 Member Months]]), "NA")</f>
        <v>NA</v>
      </c>
      <c r="G26" s="268" t="str">
        <f>IFERROR(IF(ValbyACO_ICC3[[#This Row],[2021 Member Months]]=0,"NA",SUMIFS(ACOAETME2021[[#All],[Claims: Professional, Primary Care]], ACOAETME2021[[#All],[Insurance Category Code]], $E$20, ACOAETME2021[[#All],[ACO/AE or Insurer Overall Organization ID]], ValbyACO_ICC3[[#This Row],[Org ID]])/ValbyACO_ICC3[[#This Row],[2021 Member Months]]), "NA")</f>
        <v>NA</v>
      </c>
      <c r="H26" s="268" t="str">
        <f>IFERROR(IF(ValbyACO_ICC3[[#This Row],[2021 Member Months]]=0,"NA",SUMIFS(ACOAETME2021[[#All],[Claims: Professional, Specialty Care]], ACOAETME2021[[#All],[Insurance Category Code]], $E$20, ACOAETME2021[[#All],[ACO/AE or Insurer Overall Organization ID]], ValbyACO_ICC3[[#This Row],[Org ID]])/ValbyACO_ICC3[[#This Row],[2021 Member Months]]), "NA")</f>
        <v>NA</v>
      </c>
      <c r="I26" s="268" t="str">
        <f>IFERROR(IF(ValbyACO_ICC3[[#This Row],[2021 Member Months]]=0,"NA",SUMIFS(ACOAETME2021[[#All],[Claims: Professional Other]], ACOAETME2021[[#All],[Insurance Category Code]], $E$20, ACOAETME2021[[#All],[ACO/AE or Insurer Overall Organization ID]], ValbyACO_ICC3[[#This Row],[Org ID]])/ValbyACO_ICC3[[#This Row],[2021 Member Months]]), "NA")</f>
        <v>NA</v>
      </c>
      <c r="J26" s="268" t="str">
        <f>IFERROR(IF(ValbyACO_ICC3[[#This Row],[2021 Member Months]]=0,"NA",SUMIFS(ACOAETME2021[[#All],[Claims: Pharmacy]], ACOAETME2021[[#All],[Insurance Category Code]], $E$20, ACOAETME2021[[#All],[ACO/AE or Insurer Overall Organization ID]], ValbyACO_ICC3[[#This Row],[Org ID]])/ValbyACO_ICC3[[#This Row],[2021 Member Months]]), "NA")</f>
        <v>NA</v>
      </c>
      <c r="K26" s="268" t="str">
        <f>IFERROR(IF(ValbyACO_ICC3[[#This Row],[2021 Member Months]]=0,"NA",SUMIFS(ACOAETME2021[[#All],[Claims: Long-Term Care]], ACOAETME2021[[#All],[Insurance Category Code]], $E$20, ACOAETME2021[[#All],[ACO/AE or Insurer Overall Organization ID]], ValbyACO_ICC3[[#This Row],[Org ID]])/ValbyACO_ICC3[[#This Row],[2021 Member Months]]), "NA")</f>
        <v>NA</v>
      </c>
      <c r="L26" s="268" t="str">
        <f>IFERROR(IF(ValbyACO_ICC3[[#This Row],[2021 Member Months]]=0,"NA",SUMIFS(ACOAETME2021[[#All],[Claims: Other]], ACOAETME2021[[#All],[Insurance Category Code]], $E$20, ACOAETME2021[[#All],[ACO/AE or Insurer Overall Organization ID]], ValbyACO_ICC3[[#This Row],[Org ID]])/ValbyACO_ICC3[[#This Row],[2021 Member Months]]), "NA")</f>
        <v>NA</v>
      </c>
      <c r="M26" s="118" t="str">
        <f>IF(ValbyACO_ICC3[[#This Row],[2021 Member Months]]=0,"NA",SUMIFS(ACOAETME2021[[#All],[TOTAL Non-Truncated Unadjusted Claims Expenses]], ACOAETME2021[[#All],[Insurance Category Code]], $E$20, ACOAETME2021[[#All],[ACO/AE or Insurer Overall Organization ID]], ValbyACO_ICC3[[#This Row],[Org ID]])/ValbyACO_ICC3[[#This Row],[2021 Member Months]])</f>
        <v>NA</v>
      </c>
      <c r="N26" s="118" t="str">
        <f>IF(ValbyACO_ICC3[[#This Row],[2021 Member Months]]=0,"NA",SUMIFS(ACOAETME2021[[#All],[TOTAL Truncated Unadjusted Claims Expenses (A19 - A17)]], ACOAETME2021[[#All],[Insurance Category Code]], $E$20, ACOAETME2021[[#All],[ACO/AE or Insurer Overall Organization ID]], ValbyACO_ICC3[[#This Row],[Org ID]])/ValbyACO_ICC3[[#This Row],[2021 Member Months]])</f>
        <v>NA</v>
      </c>
      <c r="O26" s="118" t="str">
        <f>IF(ValbyACO_ICC3[[#This Row],[2021 Member Months]]=0,"NA",SUMIFS(ACOAETME2021[[#All],[TOTAL Non-Claims Expenses]], ACOAETME2021[[#All],[Insurance Category Code]], $E$20, ACOAETME2021[[#All],[ACO/AE or Insurer Overall Organization ID]], ValbyACO_ICC3[[#This Row],[Org ID]])/ValbyACO_ICC3[[#This Row],[2021 Member Months]])</f>
        <v>NA</v>
      </c>
      <c r="P26" s="350" t="str">
        <f>IF(ValbyACO_ICC3[[#This Row],[2021 Member Months]]=0, "NA", SUMIFS(ACOAETME2021[[#All],[TOTAL Non-Truncated Unadjusted Expenses 
(A19+A21)]], ACOAETME2021[[#All],[Insurance Category Code]], $E$20, ACOAETME2021[[#All],[ACO/AE or Insurer Overall Organization ID]], ValbyACO_ICC3[[#This Row],[Org ID]])/ValbyACO_ICC3[[#This Row],[2021 Member Months]])</f>
        <v>NA</v>
      </c>
      <c r="Q26" s="119" t="str">
        <f>IF(ValbyACO_ICC3[[#This Row],[2021 Member Months]]=0, "NA", SUMIFS(ACOAETME2021[[#All],[TOTAL Truncated Unadjusted Expenses (A20+A21)]], ACOAETME2021[[#All],[Insurance Category Code]], $E$20, ACOAETME2021[[#All],[ACO/AE or Insurer Overall Organization ID]], ValbyACO_ICC3[[#This Row],[Org ID]])/ValbyACO_ICC3[[#This Row],[2021 Member Months]])</f>
        <v>NA</v>
      </c>
      <c r="R26" s="192">
        <f>SUMIFS(ACOAETME2022[[#All],[Member Months]],ACOAETME2022[[#All],[Insurance Category Code]],$E$20,ACOAETME2022[[#All],[ACO/AE or Insurer Overall Organization ID]],ValbyACO_ICC3[[#This Row],[Org ID]])</f>
        <v>0</v>
      </c>
      <c r="S26" s="118" t="str">
        <f>IF(ValbyACO_ICC3[[#This Row],[2022 Member Months]]=0,"NA",SUMIFS(ACOAETME2022[[#All],[Claims: Hospital Inpatient]],ACOAETME2022[[#All],[Insurance Category Code]],$E$20,ACOAETME2022[[#All],[ACO/AE or Insurer Overall Organization ID]],ValbyACO_ICC3[[#This Row],[Org ID]])/ValbyACO_ICC3[[#This Row],[2022 Member Months]])</f>
        <v>NA</v>
      </c>
      <c r="T26" s="118" t="str">
        <f>IF(ValbyACO_ICC3[[#This Row],[2022 Member Months]]=0,"NA",SUMIFS(ACOAETME2022[[#All],[Claims: Hospital Outpatient]],ACOAETME2022[[#All],[Insurance Category Code]],$E$20,ACOAETME2022[[#All],[ACO/AE or Insurer Overall Organization ID]],ValbyACO_ICC3[[#This Row],[Org ID]])/ValbyACO_ICC3[[#This Row],[2022 Member Months]])</f>
        <v>NA</v>
      </c>
      <c r="U26" s="118" t="str">
        <f>IF(ValbyACO_ICC3[[#This Row],[2022 Member Months]]=0,"NA",SUMIFS(ACOAETME2022[[#All],[Claims: Professional, Primary Care]],ACOAETME2022[[#All],[Insurance Category Code]],$E$20,ACOAETME2022[[#All],[ACO/AE or Insurer Overall Organization ID]],ValbyACO_ICC3[[#This Row],[Org ID]])/ValbyACO_ICC3[[#This Row],[2022 Member Months]])</f>
        <v>NA</v>
      </c>
      <c r="V26" s="118" t="str">
        <f>IF(ValbyACO_ICC3[[#This Row],[2022 Member Months]]=0,"NA",SUMIFS(ACOAETME2022[[#All],[Claims: Professional, Specialty Care]],ACOAETME2022[[#All],[Insurance Category Code]],$E$20,ACOAETME2022[[#All],[ACO/AE or Insurer Overall Organization ID]],ValbyACO_ICC3[[#This Row],[Org ID]])/ValbyACO_ICC3[[#This Row],[2022 Member Months]])</f>
        <v>NA</v>
      </c>
      <c r="W26" s="118" t="str">
        <f>IF(ValbyACO_ICC3[[#This Row],[2022 Member Months]]=0,"NA",SUMIFS(ACOAETME2022[[#All],[Claims: Professional Other]],ACOAETME2022[[#All],[Insurance Category Code]],$E$20,ACOAETME2022[[#All],[ACO/AE or Insurer Overall Organization ID]],ValbyACO_ICC3[[#This Row],[Org ID]])/ValbyACO_ICC3[[#This Row],[2022 Member Months]])</f>
        <v>NA</v>
      </c>
      <c r="X26" s="118" t="str">
        <f>IF(ValbyACO_ICC3[[#This Row],[2022 Member Months]]=0,"NA",SUMIFS(ACOAETME2022[[#All],[Claims: Pharmacy]],ACOAETME2022[[#All],[Insurance Category Code]],$E$20,ACOAETME2022[[#All],[ACO/AE or Insurer Overall Organization ID]],ValbyACO_ICC3[[#This Row],[Org ID]])/ValbyACO_ICC3[[#This Row],[2022 Member Months]])</f>
        <v>NA</v>
      </c>
      <c r="Y26" s="118" t="str">
        <f>IF(ValbyACO_ICC3[[#This Row],[2022 Member Months]]=0,"NA",SUMIFS(ACOAETME2022[[#All],[Claims: Long-Term Care]],ACOAETME2022[[#All],[Insurance Category Code]],$E$20,ACOAETME2022[[#All],[ACO/AE or Insurer Overall Organization ID]],ValbyACO_ICC3[[#This Row],[Org ID]])/ValbyACO_ICC3[[#This Row],[2022 Member Months]])</f>
        <v>NA</v>
      </c>
      <c r="Z26" s="118" t="str">
        <f>IF(ValbyACO_ICC3[[#This Row],[2022 Member Months]]=0,"NA",SUMIFS(ACOAETME2022[[#All],[Claims: Other]],ACOAETME2022[[#All],[Insurance Category Code]],$E$20,ACOAETME2022[[#All],[ACO/AE or Insurer Overall Organization ID]],ValbyACO_ICC3[[#This Row],[Org ID]])/ValbyACO_ICC3[[#This Row],[2022 Member Months]])</f>
        <v>NA</v>
      </c>
      <c r="AA26" s="118" t="str">
        <f>IF(ValbyACO_ICC3[[#This Row],[2022 Member Months]]=0,"NA",SUMIFS(ACOAETME2022[[#All],[TOTAL Non-Truncated Unadjusted Claims Expenses]],ACOAETME2022[[#All],[Insurance Category Code]],$E$20,ACOAETME2022[[#All],[ACO/AE or Insurer Overall Organization ID]],ValbyACO_ICC3[[#This Row],[Org ID]])/ValbyACO_ICC3[[#This Row],[2022 Member Months]])</f>
        <v>NA</v>
      </c>
      <c r="AB26" s="118" t="str">
        <f>IF(ValbyACO_ICC3[[#This Row],[2022 Member Months]]=0,"NA",SUMIFS(ACOAETME2022[[#All],[TOTAL Truncated Unadjusted Expenses (A20+A21)]],ACOAETME2022[[#All],[Insurance Category Code]],$E$20,ACOAETME2022[[#All],[ACO/AE or Insurer Overall Organization ID]],ValbyACO_ICC3[[#This Row],[Org ID]])/ValbyACO_ICC3[[#This Row],[2022 Member Months]])</f>
        <v>NA</v>
      </c>
      <c r="AC26" s="118" t="str">
        <f>IF(ValbyACO_ICC3[[#This Row],[2022 Member Months]]=0,"NA",SUMIFS(ACOAETME2022[[#All],[TOTAL Non-Claims Expenses]],ACOAETME2022[[#All],[Insurance Category Code]],$E$20,ACOAETME2022[[#All],[ACO/AE or Insurer Overall Organization ID]],ValbyACO_ICC3[[#This Row],[Org ID]])/ValbyACO_ICC3[[#This Row],[2022 Member Months]])</f>
        <v>NA</v>
      </c>
      <c r="AD26" s="118" t="str">
        <f>IF(ValbyACO_ICC3[[#This Row],[2022 Member Months]]=0,"NA",SUMIFS(ACOAETME2022[[#All],[TOTAL Non-Truncated Unadjusted Expenses 
(A19+A21)]],ACOAETME2022[[#All],[Insurance Category Code]],$E$20,ACOAETME2022[[#All],[ACO/AE or Insurer Overall Organization ID]],ValbyACO_ICC3[[#This Row],[Org ID]])/ValbyACO_ICC3[[#This Row],[2022 Member Months]])</f>
        <v>NA</v>
      </c>
      <c r="AE26" s="119" t="str">
        <f>IF(ValbyACO_ICC3[[#This Row],[2022 Member Months]]=0,"NA",SUMIFS(ACOAETME2022[[#All],[TOTAL Truncated Unadjusted Expenses (A20+A21)]],ACOAETME2022[[#All],[Insurance Category Code]],$E$20,ACOAETME2022[[#All],[ACO/AE or Insurer Overall Organization ID]],ValbyACO_ICC3[[#This Row],[Org ID]])/ValbyACO_ICC3[[#This Row],[2022 Member Months]])</f>
        <v>NA</v>
      </c>
      <c r="AF26" s="160" t="str">
        <f>IFERROR(IF(ValbyACO_ICC3[[#This Row],[2021 Member Months]]=0,"NA",ValbyACO_ICC3[[#This Row],[2022 Member Months]]/ValbyACO_ICC3[[#This Row],[2021 Member Months]]-1),"NA")</f>
        <v>NA</v>
      </c>
      <c r="AG26" s="161" t="str">
        <f>IFERROR(IF(ValbyACO_ICC3[[#This Row],[2021 Member Months]]=0,"NA",ValbyACO_ICC3[[#This Row],[2022 Claims: Hospital Inpatient]]/ValbyACO_ICC3[[#This Row],[2021 Claims: Hospital Inpatient]]-1),"NA")</f>
        <v>NA</v>
      </c>
      <c r="AH26" s="162" t="str">
        <f>IFERROR(IF(ValbyACO_ICC3[[#This Row],[2021 Member Months]]=0,"NA",ValbyACO_ICC3[[#This Row],[2022 Claims: Hospital Outpatient]]/ValbyACO_ICC3[[#This Row],[2021 Claims: Hospital Outpatient]]-1),"NA")</f>
        <v>NA</v>
      </c>
      <c r="AI26" s="162" t="str">
        <f>IFERROR(IF(ValbyACO_ICC3[[#This Row],[2021 Member Months]]=0,"NA",ValbyACO_ICC3[[#This Row],[2022 Claims: Professional, Primary Care]]/ValbyACO_ICC3[[#This Row],[2021 Claims: Professional, Primary Care]]-1),"NA")</f>
        <v>NA</v>
      </c>
      <c r="AJ26" s="162" t="str">
        <f>IFERROR(IF(ValbyACO_ICC3[[#This Row],[2021 Member Months]]=0,"NA",ValbyACO_ICC3[[#This Row],[2022 Claims: Professional, Specialty Care]]/ValbyACO_ICC3[[#This Row],[2021 Claims: Professional, Specialty Care]]-1),"NA")</f>
        <v>NA</v>
      </c>
      <c r="AK26" s="162" t="str">
        <f>IFERROR(IF(ValbyACO_ICC3[[#This Row],[2021 Member Months]]=0,"NA", ValbyACO_ICC3[[#This Row],[2022 Claims: Professional Other]]/ValbyACO_ICC3[[#This Row],[2021 Claims: Professional Other]]-1),"NA")</f>
        <v>NA</v>
      </c>
      <c r="AL26" s="162" t="str">
        <f>IFERROR(IF(ValbyACO_ICC3[[#This Row],[2021 Member Months]]=0,"NA",ValbyACO_ICC3[[#This Row],[2022 Claims: Pharmacy (Gross of Retail Pharmacy Rebates)]]/ValbyACO_ICC3[[#This Row],[2021 Claims: Pharmacy (Gross of  Rebates)]]-1),"NA")</f>
        <v>NA</v>
      </c>
      <c r="AM26" s="162" t="str">
        <f>IFERROR(IF(ValbyACO_ICC3[[#This Row],[2021 Member Months]]=0,"NA",ValbyACO_ICC3[[#This Row],[2022 Claims: Long-term Care]]/ValbyACO_ICC3[[#This Row],[2021 Claims: Long-term Care]]-1),"NA")</f>
        <v>NA</v>
      </c>
      <c r="AN26" s="162" t="str">
        <f>IFERROR(IF(ValbyACO_ICC3[[#This Row],[2021 Member Months]]=0,"NA",ValbyACO_ICC3[[#This Row],[2022 Claims: Other]]/ValbyACO_ICC3[[#This Row],[2021 Claims: Other]]-1),"NA")</f>
        <v>NA</v>
      </c>
      <c r="AO26" s="163" t="str">
        <f>IFERROR(IF(ValbyACO_ICC3[[#This Row],[2021 Member Months]]=0,"NA",ValbyACO_ICC3[[#This Row],[2022 TOTAL Non-Truncated Claims Expenses]]/ValbyACO_ICC3[[#This Row],[2021 TOTAL Non-Truncated Claims Expenses]]-1),"NA")</f>
        <v>NA</v>
      </c>
      <c r="AP26" s="163" t="str">
        <f>IFERROR(IF(ValbyACO_ICC3[[#This Row],[2021 Member Months]]=0,"NA",ValbyACO_ICC3[[#This Row],[2022 TOTAL Truncated Claims Expenses]]/ValbyACO_ICC3[[#This Row],[2021 TOTAL Truncated Claims Expenses]]-1),"NA")</f>
        <v>NA</v>
      </c>
      <c r="AQ26" s="163" t="str">
        <f>IFERROR(IF(ValbyACO_ICC3[[#This Row],[2021 Member Months]]=0,"NA",ValbyACO_ICC3[[#This Row],[2022 TOTAL Non-Claims Expenses]]/ValbyACO_ICC3[[#This Row],[2021 TOTAL Non-Claims Expenses]]-1),"NA")</f>
        <v>NA</v>
      </c>
      <c r="AR26" s="163" t="str">
        <f>IFERROR(IF(ValbyACO_ICC3[[#This Row],[2021 Member Months]]=0,"NA",ValbyACO_ICC3[[#This Row],[2022 TOTAL Non-Truncated Total Expenses]]/ValbyACO_ICC3[[#This Row],[2021 TOTAL Non-Truncated Total Expenses]]-1),"NA")</f>
        <v>NA</v>
      </c>
      <c r="AS26" s="163" t="str">
        <f>IFERROR(IF(ValbyACO_ICC3[[#This Row],[2021 Member Months]]=0,"NA",ValbyACO_ICC3[[#This Row],[2022 TOTAL Truncated Total Expenses]]/ValbyACO_ICC3[[#This Row],[2021 TOTAL Truncated Total Expenses]]-1),"NA")</f>
        <v>NA</v>
      </c>
    </row>
    <row r="27" spans="1:45" x14ac:dyDescent="0.35">
      <c r="A27" s="129"/>
      <c r="B27" s="250">
        <v>106</v>
      </c>
      <c r="C27" s="131" t="s">
        <v>170</v>
      </c>
      <c r="D27" s="192">
        <f>SUMIFS(ACOAETME2021[[#All],[Member Months]], ACOAETME2021[[#All],[Insurance Category Code]], $E$20, ACOAETME2021[[#All],[ACO/AE or Insurer Overall Organization ID]], ValbyACO_ICC3[[#This Row],[Org ID]])</f>
        <v>0</v>
      </c>
      <c r="E27" s="268" t="str">
        <f>IFERROR(IF(ValbyACO_ICC3[[#This Row],[2021 Member Months]]=0,"NA",SUMIFS(ACOAETME2021[[#All],[Claims: Hospital Inpatient]], ACOAETME2021[[#All],[Insurance Category Code]], $E$20, ACOAETME2021[[#All],[ACO/AE or Insurer Overall Organization ID]], ValbyACO_ICC3[[#This Row],[Org ID]])/ValbyACO_ICC3[[#This Row],[2021 Member Months]]), "NA")</f>
        <v>NA</v>
      </c>
      <c r="F27" s="268" t="str">
        <f>IFERROR(IF(ValbyACO_ICC3[[#This Row],[2021 Member Months]]=0,"NA",SUMIFS(ACOAETME2021[[#All],[Claims: Hospital Outpatient]], ACOAETME2021[[#All],[Insurance Category Code]], $E$20, ACOAETME2021[[#All],[ACO/AE or Insurer Overall Organization ID]], ValbyACO_ICC3[[#This Row],[Org ID]])/ValbyACO_ICC3[[#This Row],[2021 Member Months]]), "NA")</f>
        <v>NA</v>
      </c>
      <c r="G27" s="268" t="str">
        <f>IFERROR(IF(ValbyACO_ICC3[[#This Row],[2021 Member Months]]=0,"NA",SUMIFS(ACOAETME2021[[#All],[Claims: Professional, Primary Care]], ACOAETME2021[[#All],[Insurance Category Code]], $E$20, ACOAETME2021[[#All],[ACO/AE or Insurer Overall Organization ID]], ValbyACO_ICC3[[#This Row],[Org ID]])/ValbyACO_ICC3[[#This Row],[2021 Member Months]]), "NA")</f>
        <v>NA</v>
      </c>
      <c r="H27" s="268" t="str">
        <f>IFERROR(IF(ValbyACO_ICC3[[#This Row],[2021 Member Months]]=0,"NA",SUMIFS(ACOAETME2021[[#All],[Claims: Professional, Specialty Care]], ACOAETME2021[[#All],[Insurance Category Code]], $E$20, ACOAETME2021[[#All],[ACO/AE or Insurer Overall Organization ID]], ValbyACO_ICC3[[#This Row],[Org ID]])/ValbyACO_ICC3[[#This Row],[2021 Member Months]]), "NA")</f>
        <v>NA</v>
      </c>
      <c r="I27" s="268" t="str">
        <f>IFERROR(IF(ValbyACO_ICC3[[#This Row],[2021 Member Months]]=0,"NA",SUMIFS(ACOAETME2021[[#All],[Claims: Professional Other]], ACOAETME2021[[#All],[Insurance Category Code]], $E$20, ACOAETME2021[[#All],[ACO/AE or Insurer Overall Organization ID]], ValbyACO_ICC3[[#This Row],[Org ID]])/ValbyACO_ICC3[[#This Row],[2021 Member Months]]), "NA")</f>
        <v>NA</v>
      </c>
      <c r="J27" s="268" t="str">
        <f>IFERROR(IF(ValbyACO_ICC3[[#This Row],[2021 Member Months]]=0,"NA",SUMIFS(ACOAETME2021[[#All],[Claims: Pharmacy]], ACOAETME2021[[#All],[Insurance Category Code]], $E$20, ACOAETME2021[[#All],[ACO/AE or Insurer Overall Organization ID]], ValbyACO_ICC3[[#This Row],[Org ID]])/ValbyACO_ICC3[[#This Row],[2021 Member Months]]), "NA")</f>
        <v>NA</v>
      </c>
      <c r="K27" s="268" t="str">
        <f>IFERROR(IF(ValbyACO_ICC3[[#This Row],[2021 Member Months]]=0,"NA",SUMIFS(ACOAETME2021[[#All],[Claims: Long-Term Care]], ACOAETME2021[[#All],[Insurance Category Code]], $E$20, ACOAETME2021[[#All],[ACO/AE or Insurer Overall Organization ID]], ValbyACO_ICC3[[#This Row],[Org ID]])/ValbyACO_ICC3[[#This Row],[2021 Member Months]]), "NA")</f>
        <v>NA</v>
      </c>
      <c r="L27" s="268" t="str">
        <f>IFERROR(IF(ValbyACO_ICC3[[#This Row],[2021 Member Months]]=0,"NA",SUMIFS(ACOAETME2021[[#All],[Claims: Other]], ACOAETME2021[[#All],[Insurance Category Code]], $E$20, ACOAETME2021[[#All],[ACO/AE or Insurer Overall Organization ID]], ValbyACO_ICC3[[#This Row],[Org ID]])/ValbyACO_ICC3[[#This Row],[2021 Member Months]]), "NA")</f>
        <v>NA</v>
      </c>
      <c r="M27" s="118" t="str">
        <f>IF(ValbyACO_ICC3[[#This Row],[2021 Member Months]]=0,"NA",SUMIFS(ACOAETME2021[[#All],[TOTAL Non-Truncated Unadjusted Claims Expenses]], ACOAETME2021[[#All],[Insurance Category Code]], $E$20, ACOAETME2021[[#All],[ACO/AE or Insurer Overall Organization ID]], ValbyACO_ICC3[[#This Row],[Org ID]])/ValbyACO_ICC3[[#This Row],[2021 Member Months]])</f>
        <v>NA</v>
      </c>
      <c r="N27" s="118" t="str">
        <f>IF(ValbyACO_ICC3[[#This Row],[2021 Member Months]]=0,"NA",SUMIFS(ACOAETME2021[[#All],[TOTAL Truncated Unadjusted Claims Expenses (A19 - A17)]], ACOAETME2021[[#All],[Insurance Category Code]], $E$20, ACOAETME2021[[#All],[ACO/AE or Insurer Overall Organization ID]], ValbyACO_ICC3[[#This Row],[Org ID]])/ValbyACO_ICC3[[#This Row],[2021 Member Months]])</f>
        <v>NA</v>
      </c>
      <c r="O27" s="118" t="str">
        <f>IF(ValbyACO_ICC3[[#This Row],[2021 Member Months]]=0,"NA",SUMIFS(ACOAETME2021[[#All],[TOTAL Non-Claims Expenses]], ACOAETME2021[[#All],[Insurance Category Code]], $E$20, ACOAETME2021[[#All],[ACO/AE or Insurer Overall Organization ID]], ValbyACO_ICC3[[#This Row],[Org ID]])/ValbyACO_ICC3[[#This Row],[2021 Member Months]])</f>
        <v>NA</v>
      </c>
      <c r="P27" s="350" t="str">
        <f>IF(ValbyACO_ICC3[[#This Row],[2021 Member Months]]=0, "NA", SUMIFS(ACOAETME2021[[#All],[TOTAL Non-Truncated Unadjusted Expenses 
(A19+A21)]], ACOAETME2021[[#All],[Insurance Category Code]], $E$20, ACOAETME2021[[#All],[ACO/AE or Insurer Overall Organization ID]], ValbyACO_ICC3[[#This Row],[Org ID]])/ValbyACO_ICC3[[#This Row],[2021 Member Months]])</f>
        <v>NA</v>
      </c>
      <c r="Q27" s="119" t="str">
        <f>IF(ValbyACO_ICC3[[#This Row],[2021 Member Months]]=0, "NA", SUMIFS(ACOAETME2021[[#All],[TOTAL Truncated Unadjusted Expenses (A20+A21)]], ACOAETME2021[[#All],[Insurance Category Code]], $E$20, ACOAETME2021[[#All],[ACO/AE or Insurer Overall Organization ID]], ValbyACO_ICC3[[#This Row],[Org ID]])/ValbyACO_ICC3[[#This Row],[2021 Member Months]])</f>
        <v>NA</v>
      </c>
      <c r="R27" s="192">
        <f>SUMIFS(ACOAETME2022[[#All],[Member Months]],ACOAETME2022[[#All],[Insurance Category Code]],$E$20,ACOAETME2022[[#All],[ACO/AE or Insurer Overall Organization ID]],ValbyACO_ICC3[[#This Row],[Org ID]])</f>
        <v>0</v>
      </c>
      <c r="S27" s="118" t="str">
        <f>IF(ValbyACO_ICC3[[#This Row],[2022 Member Months]]=0,"NA",SUMIFS(ACOAETME2022[[#All],[Claims: Hospital Inpatient]],ACOAETME2022[[#All],[Insurance Category Code]],$E$20,ACOAETME2022[[#All],[ACO/AE or Insurer Overall Organization ID]],ValbyACO_ICC3[[#This Row],[Org ID]])/ValbyACO_ICC3[[#This Row],[2022 Member Months]])</f>
        <v>NA</v>
      </c>
      <c r="T27" s="118" t="str">
        <f>IF(ValbyACO_ICC3[[#This Row],[2022 Member Months]]=0,"NA",SUMIFS(ACOAETME2022[[#All],[Claims: Hospital Outpatient]],ACOAETME2022[[#All],[Insurance Category Code]],$E$20,ACOAETME2022[[#All],[ACO/AE or Insurer Overall Organization ID]],ValbyACO_ICC3[[#This Row],[Org ID]])/ValbyACO_ICC3[[#This Row],[2022 Member Months]])</f>
        <v>NA</v>
      </c>
      <c r="U27" s="118" t="str">
        <f>IF(ValbyACO_ICC3[[#This Row],[2022 Member Months]]=0,"NA",SUMIFS(ACOAETME2022[[#All],[Claims: Professional, Primary Care]],ACOAETME2022[[#All],[Insurance Category Code]],$E$20,ACOAETME2022[[#All],[ACO/AE or Insurer Overall Organization ID]],ValbyACO_ICC3[[#This Row],[Org ID]])/ValbyACO_ICC3[[#This Row],[2022 Member Months]])</f>
        <v>NA</v>
      </c>
      <c r="V27" s="118" t="str">
        <f>IF(ValbyACO_ICC3[[#This Row],[2022 Member Months]]=0,"NA",SUMIFS(ACOAETME2022[[#All],[Claims: Professional, Specialty Care]],ACOAETME2022[[#All],[Insurance Category Code]],$E$20,ACOAETME2022[[#All],[ACO/AE or Insurer Overall Organization ID]],ValbyACO_ICC3[[#This Row],[Org ID]])/ValbyACO_ICC3[[#This Row],[2022 Member Months]])</f>
        <v>NA</v>
      </c>
      <c r="W27" s="118" t="str">
        <f>IF(ValbyACO_ICC3[[#This Row],[2022 Member Months]]=0,"NA",SUMIFS(ACOAETME2022[[#All],[Claims: Professional Other]],ACOAETME2022[[#All],[Insurance Category Code]],$E$20,ACOAETME2022[[#All],[ACO/AE or Insurer Overall Organization ID]],ValbyACO_ICC3[[#This Row],[Org ID]])/ValbyACO_ICC3[[#This Row],[2022 Member Months]])</f>
        <v>NA</v>
      </c>
      <c r="X27" s="118" t="str">
        <f>IF(ValbyACO_ICC3[[#This Row],[2022 Member Months]]=0,"NA",SUMIFS(ACOAETME2022[[#All],[Claims: Pharmacy]],ACOAETME2022[[#All],[Insurance Category Code]],$E$20,ACOAETME2022[[#All],[ACO/AE or Insurer Overall Organization ID]],ValbyACO_ICC3[[#This Row],[Org ID]])/ValbyACO_ICC3[[#This Row],[2022 Member Months]])</f>
        <v>NA</v>
      </c>
      <c r="Y27" s="118" t="str">
        <f>IF(ValbyACO_ICC3[[#This Row],[2022 Member Months]]=0,"NA",SUMIFS(ACOAETME2022[[#All],[Claims: Long-Term Care]],ACOAETME2022[[#All],[Insurance Category Code]],$E$20,ACOAETME2022[[#All],[ACO/AE or Insurer Overall Organization ID]],ValbyACO_ICC3[[#This Row],[Org ID]])/ValbyACO_ICC3[[#This Row],[2022 Member Months]])</f>
        <v>NA</v>
      </c>
      <c r="Z27" s="118" t="str">
        <f>IF(ValbyACO_ICC3[[#This Row],[2022 Member Months]]=0,"NA",SUMIFS(ACOAETME2022[[#All],[Claims: Other]],ACOAETME2022[[#All],[Insurance Category Code]],$E$20,ACOAETME2022[[#All],[ACO/AE or Insurer Overall Organization ID]],ValbyACO_ICC3[[#This Row],[Org ID]])/ValbyACO_ICC3[[#This Row],[2022 Member Months]])</f>
        <v>NA</v>
      </c>
      <c r="AA27" s="118" t="str">
        <f>IF(ValbyACO_ICC3[[#This Row],[2022 Member Months]]=0,"NA",SUMIFS(ACOAETME2022[[#All],[TOTAL Non-Truncated Unadjusted Claims Expenses]],ACOAETME2022[[#All],[Insurance Category Code]],$E$20,ACOAETME2022[[#All],[ACO/AE or Insurer Overall Organization ID]],ValbyACO_ICC3[[#This Row],[Org ID]])/ValbyACO_ICC3[[#This Row],[2022 Member Months]])</f>
        <v>NA</v>
      </c>
      <c r="AB27" s="118" t="str">
        <f>IF(ValbyACO_ICC3[[#This Row],[2022 Member Months]]=0,"NA",SUMIFS(ACOAETME2022[[#All],[TOTAL Truncated Unadjusted Expenses (A20+A21)]],ACOAETME2022[[#All],[Insurance Category Code]],$E$20,ACOAETME2022[[#All],[ACO/AE or Insurer Overall Organization ID]],ValbyACO_ICC3[[#This Row],[Org ID]])/ValbyACO_ICC3[[#This Row],[2022 Member Months]])</f>
        <v>NA</v>
      </c>
      <c r="AC27" s="118" t="str">
        <f>IF(ValbyACO_ICC3[[#This Row],[2022 Member Months]]=0,"NA",SUMIFS(ACOAETME2022[[#All],[TOTAL Non-Claims Expenses]],ACOAETME2022[[#All],[Insurance Category Code]],$E$20,ACOAETME2022[[#All],[ACO/AE or Insurer Overall Organization ID]],ValbyACO_ICC3[[#This Row],[Org ID]])/ValbyACO_ICC3[[#This Row],[2022 Member Months]])</f>
        <v>NA</v>
      </c>
      <c r="AD27" s="118" t="str">
        <f>IF(ValbyACO_ICC3[[#This Row],[2022 Member Months]]=0,"NA",SUMIFS(ACOAETME2022[[#All],[TOTAL Non-Truncated Unadjusted Expenses 
(A19+A21)]],ACOAETME2022[[#All],[Insurance Category Code]],$E$20,ACOAETME2022[[#All],[ACO/AE or Insurer Overall Organization ID]],ValbyACO_ICC3[[#This Row],[Org ID]])/ValbyACO_ICC3[[#This Row],[2022 Member Months]])</f>
        <v>NA</v>
      </c>
      <c r="AE27" s="119" t="str">
        <f>IF(ValbyACO_ICC3[[#This Row],[2022 Member Months]]=0,"NA",SUMIFS(ACOAETME2022[[#All],[TOTAL Truncated Unadjusted Expenses (A20+A21)]],ACOAETME2022[[#All],[Insurance Category Code]],$E$20,ACOAETME2022[[#All],[ACO/AE or Insurer Overall Organization ID]],ValbyACO_ICC3[[#This Row],[Org ID]])/ValbyACO_ICC3[[#This Row],[2022 Member Months]])</f>
        <v>NA</v>
      </c>
      <c r="AF27" s="160" t="str">
        <f>IFERROR(IF(ValbyACO_ICC3[[#This Row],[2021 Member Months]]=0,"NA",ValbyACO_ICC3[[#This Row],[2022 Member Months]]/ValbyACO_ICC3[[#This Row],[2021 Member Months]]-1),"NA")</f>
        <v>NA</v>
      </c>
      <c r="AG27" s="161" t="str">
        <f>IFERROR(IF(ValbyACO_ICC3[[#This Row],[2021 Member Months]]=0,"NA",ValbyACO_ICC3[[#This Row],[2022 Claims: Hospital Inpatient]]/ValbyACO_ICC3[[#This Row],[2021 Claims: Hospital Inpatient]]-1),"NA")</f>
        <v>NA</v>
      </c>
      <c r="AH27" s="162" t="str">
        <f>IFERROR(IF(ValbyACO_ICC3[[#This Row],[2021 Member Months]]=0,"NA",ValbyACO_ICC3[[#This Row],[2022 Claims: Hospital Outpatient]]/ValbyACO_ICC3[[#This Row],[2021 Claims: Hospital Outpatient]]-1),"NA")</f>
        <v>NA</v>
      </c>
      <c r="AI27" s="162" t="str">
        <f>IFERROR(IF(ValbyACO_ICC3[[#This Row],[2021 Member Months]]=0,"NA",ValbyACO_ICC3[[#This Row],[2022 Claims: Professional, Primary Care]]/ValbyACO_ICC3[[#This Row],[2021 Claims: Professional, Primary Care]]-1),"NA")</f>
        <v>NA</v>
      </c>
      <c r="AJ27" s="162" t="str">
        <f>IFERROR(IF(ValbyACO_ICC3[[#This Row],[2021 Member Months]]=0,"NA",ValbyACO_ICC3[[#This Row],[2022 Claims: Professional, Specialty Care]]/ValbyACO_ICC3[[#This Row],[2021 Claims: Professional, Specialty Care]]-1),"NA")</f>
        <v>NA</v>
      </c>
      <c r="AK27" s="162" t="str">
        <f>IFERROR(IF(ValbyACO_ICC3[[#This Row],[2021 Member Months]]=0,"NA", ValbyACO_ICC3[[#This Row],[2022 Claims: Professional Other]]/ValbyACO_ICC3[[#This Row],[2021 Claims: Professional Other]]-1),"NA")</f>
        <v>NA</v>
      </c>
      <c r="AL27" s="162" t="str">
        <f>IFERROR(IF(ValbyACO_ICC3[[#This Row],[2021 Member Months]]=0,"NA",ValbyACO_ICC3[[#This Row],[2022 Claims: Pharmacy (Gross of Retail Pharmacy Rebates)]]/ValbyACO_ICC3[[#This Row],[2021 Claims: Pharmacy (Gross of  Rebates)]]-1),"NA")</f>
        <v>NA</v>
      </c>
      <c r="AM27" s="162" t="str">
        <f>IFERROR(IF(ValbyACO_ICC3[[#This Row],[2021 Member Months]]=0,"NA",ValbyACO_ICC3[[#This Row],[2022 Claims: Long-term Care]]/ValbyACO_ICC3[[#This Row],[2021 Claims: Long-term Care]]-1),"NA")</f>
        <v>NA</v>
      </c>
      <c r="AN27" s="162" t="str">
        <f>IFERROR(IF(ValbyACO_ICC3[[#This Row],[2021 Member Months]]=0,"NA",ValbyACO_ICC3[[#This Row],[2022 Claims: Other]]/ValbyACO_ICC3[[#This Row],[2021 Claims: Other]]-1),"NA")</f>
        <v>NA</v>
      </c>
      <c r="AO27" s="163" t="str">
        <f>IFERROR(IF(ValbyACO_ICC3[[#This Row],[2021 Member Months]]=0,"NA",ValbyACO_ICC3[[#This Row],[2022 TOTAL Non-Truncated Claims Expenses]]/ValbyACO_ICC3[[#This Row],[2021 TOTAL Non-Truncated Claims Expenses]]-1),"NA")</f>
        <v>NA</v>
      </c>
      <c r="AP27" s="163" t="str">
        <f>IFERROR(IF(ValbyACO_ICC3[[#This Row],[2021 Member Months]]=0,"NA",ValbyACO_ICC3[[#This Row],[2022 TOTAL Truncated Claims Expenses]]/ValbyACO_ICC3[[#This Row],[2021 TOTAL Truncated Claims Expenses]]-1),"NA")</f>
        <v>NA</v>
      </c>
      <c r="AQ27" s="163" t="str">
        <f>IFERROR(IF(ValbyACO_ICC3[[#This Row],[2021 Member Months]]=0,"NA",ValbyACO_ICC3[[#This Row],[2022 TOTAL Non-Claims Expenses]]/ValbyACO_ICC3[[#This Row],[2021 TOTAL Non-Claims Expenses]]-1),"NA")</f>
        <v>NA</v>
      </c>
      <c r="AR27" s="163" t="str">
        <f>IFERROR(IF(ValbyACO_ICC3[[#This Row],[2021 Member Months]]=0,"NA",ValbyACO_ICC3[[#This Row],[2022 TOTAL Non-Truncated Total Expenses]]/ValbyACO_ICC3[[#This Row],[2021 TOTAL Non-Truncated Total Expenses]]-1),"NA")</f>
        <v>NA</v>
      </c>
      <c r="AS27" s="163" t="str">
        <f>IFERROR(IF(ValbyACO_ICC3[[#This Row],[2021 Member Months]]=0,"NA",ValbyACO_ICC3[[#This Row],[2022 TOTAL Truncated Total Expenses]]/ValbyACO_ICC3[[#This Row],[2021 TOTAL Truncated Total Expenses]]-1),"NA")</f>
        <v>NA</v>
      </c>
    </row>
    <row r="28" spans="1:45" x14ac:dyDescent="0.35">
      <c r="A28" s="129"/>
      <c r="B28" s="250">
        <v>107</v>
      </c>
      <c r="C28" s="131" t="s">
        <v>171</v>
      </c>
      <c r="D28" s="192">
        <f>SUMIFS(ACOAETME2021[[#All],[Member Months]], ACOAETME2021[[#All],[Insurance Category Code]], $E$20, ACOAETME2021[[#All],[ACO/AE or Insurer Overall Organization ID]], ValbyACO_ICC3[[#This Row],[Org ID]])</f>
        <v>0</v>
      </c>
      <c r="E28" s="268" t="str">
        <f>IFERROR(IF(ValbyACO_ICC3[[#This Row],[2021 Member Months]]=0,"NA",SUMIFS(ACOAETME2021[[#All],[Claims: Hospital Inpatient]], ACOAETME2021[[#All],[Insurance Category Code]], $E$20, ACOAETME2021[[#All],[ACO/AE or Insurer Overall Organization ID]], ValbyACO_ICC3[[#This Row],[Org ID]])/ValbyACO_ICC3[[#This Row],[2021 Member Months]]), "NA")</f>
        <v>NA</v>
      </c>
      <c r="F28" s="268" t="str">
        <f>IFERROR(IF(ValbyACO_ICC3[[#This Row],[2021 Member Months]]=0,"NA",SUMIFS(ACOAETME2021[[#All],[Claims: Hospital Outpatient]], ACOAETME2021[[#All],[Insurance Category Code]], $E$20, ACOAETME2021[[#All],[ACO/AE or Insurer Overall Organization ID]], ValbyACO_ICC3[[#This Row],[Org ID]])/ValbyACO_ICC3[[#This Row],[2021 Member Months]]), "NA")</f>
        <v>NA</v>
      </c>
      <c r="G28" s="268" t="str">
        <f>IFERROR(IF(ValbyACO_ICC3[[#This Row],[2021 Member Months]]=0,"NA",SUMIFS(ACOAETME2021[[#All],[Claims: Professional, Primary Care]], ACOAETME2021[[#All],[Insurance Category Code]], $E$20, ACOAETME2021[[#All],[ACO/AE or Insurer Overall Organization ID]], ValbyACO_ICC3[[#This Row],[Org ID]])/ValbyACO_ICC3[[#This Row],[2021 Member Months]]), "NA")</f>
        <v>NA</v>
      </c>
      <c r="H28" s="268" t="str">
        <f>IFERROR(IF(ValbyACO_ICC3[[#This Row],[2021 Member Months]]=0,"NA",SUMIFS(ACOAETME2021[[#All],[Claims: Professional, Specialty Care]], ACOAETME2021[[#All],[Insurance Category Code]], $E$20, ACOAETME2021[[#All],[ACO/AE or Insurer Overall Organization ID]], ValbyACO_ICC3[[#This Row],[Org ID]])/ValbyACO_ICC3[[#This Row],[2021 Member Months]]), "NA")</f>
        <v>NA</v>
      </c>
      <c r="I28" s="268" t="str">
        <f>IFERROR(IF(ValbyACO_ICC3[[#This Row],[2021 Member Months]]=0,"NA",SUMIFS(ACOAETME2021[[#All],[Claims: Professional Other]], ACOAETME2021[[#All],[Insurance Category Code]], $E$20, ACOAETME2021[[#All],[ACO/AE or Insurer Overall Organization ID]], ValbyACO_ICC3[[#This Row],[Org ID]])/ValbyACO_ICC3[[#This Row],[2021 Member Months]]), "NA")</f>
        <v>NA</v>
      </c>
      <c r="J28" s="268" t="str">
        <f>IFERROR(IF(ValbyACO_ICC3[[#This Row],[2021 Member Months]]=0,"NA",SUMIFS(ACOAETME2021[[#All],[Claims: Pharmacy]], ACOAETME2021[[#All],[Insurance Category Code]], $E$20, ACOAETME2021[[#All],[ACO/AE or Insurer Overall Organization ID]], ValbyACO_ICC3[[#This Row],[Org ID]])/ValbyACO_ICC3[[#This Row],[2021 Member Months]]), "NA")</f>
        <v>NA</v>
      </c>
      <c r="K28" s="268" t="str">
        <f>IFERROR(IF(ValbyACO_ICC3[[#This Row],[2021 Member Months]]=0,"NA",SUMIFS(ACOAETME2021[[#All],[Claims: Long-Term Care]], ACOAETME2021[[#All],[Insurance Category Code]], $E$20, ACOAETME2021[[#All],[ACO/AE or Insurer Overall Organization ID]], ValbyACO_ICC3[[#This Row],[Org ID]])/ValbyACO_ICC3[[#This Row],[2021 Member Months]]), "NA")</f>
        <v>NA</v>
      </c>
      <c r="L28" s="268" t="str">
        <f>IFERROR(IF(ValbyACO_ICC3[[#This Row],[2021 Member Months]]=0,"NA",SUMIFS(ACOAETME2021[[#All],[Claims: Other]], ACOAETME2021[[#All],[Insurance Category Code]], $E$20, ACOAETME2021[[#All],[ACO/AE or Insurer Overall Organization ID]], ValbyACO_ICC3[[#This Row],[Org ID]])/ValbyACO_ICC3[[#This Row],[2021 Member Months]]), "NA")</f>
        <v>NA</v>
      </c>
      <c r="M28" s="118" t="str">
        <f>IF(ValbyACO_ICC3[[#This Row],[2021 Member Months]]=0,"NA",SUMIFS(ACOAETME2021[[#All],[TOTAL Non-Truncated Unadjusted Claims Expenses]], ACOAETME2021[[#All],[Insurance Category Code]], $E$20, ACOAETME2021[[#All],[ACO/AE or Insurer Overall Organization ID]], ValbyACO_ICC3[[#This Row],[Org ID]])/ValbyACO_ICC3[[#This Row],[2021 Member Months]])</f>
        <v>NA</v>
      </c>
      <c r="N28" s="118" t="str">
        <f>IF(ValbyACO_ICC3[[#This Row],[2021 Member Months]]=0,"NA",SUMIFS(ACOAETME2021[[#All],[TOTAL Truncated Unadjusted Claims Expenses (A19 - A17)]], ACOAETME2021[[#All],[Insurance Category Code]], $E$20, ACOAETME2021[[#All],[ACO/AE or Insurer Overall Organization ID]], ValbyACO_ICC3[[#This Row],[Org ID]])/ValbyACO_ICC3[[#This Row],[2021 Member Months]])</f>
        <v>NA</v>
      </c>
      <c r="O28" s="118" t="str">
        <f>IF(ValbyACO_ICC3[[#This Row],[2021 Member Months]]=0,"NA",SUMIFS(ACOAETME2021[[#All],[TOTAL Non-Claims Expenses]], ACOAETME2021[[#All],[Insurance Category Code]], $E$20, ACOAETME2021[[#All],[ACO/AE or Insurer Overall Organization ID]], ValbyACO_ICC3[[#This Row],[Org ID]])/ValbyACO_ICC3[[#This Row],[2021 Member Months]])</f>
        <v>NA</v>
      </c>
      <c r="P28" s="350" t="str">
        <f>IF(ValbyACO_ICC3[[#This Row],[2021 Member Months]]=0, "NA", SUMIFS(ACOAETME2021[[#All],[TOTAL Non-Truncated Unadjusted Expenses 
(A19+A21)]], ACOAETME2021[[#All],[Insurance Category Code]], $E$20, ACOAETME2021[[#All],[ACO/AE or Insurer Overall Organization ID]], ValbyACO_ICC3[[#This Row],[Org ID]])/ValbyACO_ICC3[[#This Row],[2021 Member Months]])</f>
        <v>NA</v>
      </c>
      <c r="Q28" s="119" t="str">
        <f>IF(ValbyACO_ICC3[[#This Row],[2021 Member Months]]=0, "NA", SUMIFS(ACOAETME2021[[#All],[TOTAL Truncated Unadjusted Expenses (A20+A21)]], ACOAETME2021[[#All],[Insurance Category Code]], $E$20, ACOAETME2021[[#All],[ACO/AE or Insurer Overall Organization ID]], ValbyACO_ICC3[[#This Row],[Org ID]])/ValbyACO_ICC3[[#This Row],[2021 Member Months]])</f>
        <v>NA</v>
      </c>
      <c r="R28" s="192">
        <f>SUMIFS(ACOAETME2022[[#All],[Member Months]],ACOAETME2022[[#All],[Insurance Category Code]],$E$20,ACOAETME2022[[#All],[ACO/AE or Insurer Overall Organization ID]],ValbyACO_ICC3[[#This Row],[Org ID]])</f>
        <v>0</v>
      </c>
      <c r="S28" s="118" t="str">
        <f>IF(ValbyACO_ICC3[[#This Row],[2022 Member Months]]=0,"NA",SUMIFS(ACOAETME2022[[#All],[Claims: Hospital Inpatient]],ACOAETME2022[[#All],[Insurance Category Code]],$E$20,ACOAETME2022[[#All],[ACO/AE or Insurer Overall Organization ID]],ValbyACO_ICC3[[#This Row],[Org ID]])/ValbyACO_ICC3[[#This Row],[2022 Member Months]])</f>
        <v>NA</v>
      </c>
      <c r="T28" s="118" t="str">
        <f>IF(ValbyACO_ICC3[[#This Row],[2022 Member Months]]=0,"NA",SUMIFS(ACOAETME2022[[#All],[Claims: Hospital Outpatient]],ACOAETME2022[[#All],[Insurance Category Code]],$E$20,ACOAETME2022[[#All],[ACO/AE or Insurer Overall Organization ID]],ValbyACO_ICC3[[#This Row],[Org ID]])/ValbyACO_ICC3[[#This Row],[2022 Member Months]])</f>
        <v>NA</v>
      </c>
      <c r="U28" s="118" t="str">
        <f>IF(ValbyACO_ICC3[[#This Row],[2022 Member Months]]=0,"NA",SUMIFS(ACOAETME2022[[#All],[Claims: Professional, Primary Care]],ACOAETME2022[[#All],[Insurance Category Code]],$E$20,ACOAETME2022[[#All],[ACO/AE or Insurer Overall Organization ID]],ValbyACO_ICC3[[#This Row],[Org ID]])/ValbyACO_ICC3[[#This Row],[2022 Member Months]])</f>
        <v>NA</v>
      </c>
      <c r="V28" s="118" t="str">
        <f>IF(ValbyACO_ICC3[[#This Row],[2022 Member Months]]=0,"NA",SUMIFS(ACOAETME2022[[#All],[Claims: Professional, Specialty Care]],ACOAETME2022[[#All],[Insurance Category Code]],$E$20,ACOAETME2022[[#All],[ACO/AE or Insurer Overall Organization ID]],ValbyACO_ICC3[[#This Row],[Org ID]])/ValbyACO_ICC3[[#This Row],[2022 Member Months]])</f>
        <v>NA</v>
      </c>
      <c r="W28" s="118" t="str">
        <f>IF(ValbyACO_ICC3[[#This Row],[2022 Member Months]]=0,"NA",SUMIFS(ACOAETME2022[[#All],[Claims: Professional Other]],ACOAETME2022[[#All],[Insurance Category Code]],$E$20,ACOAETME2022[[#All],[ACO/AE or Insurer Overall Organization ID]],ValbyACO_ICC3[[#This Row],[Org ID]])/ValbyACO_ICC3[[#This Row],[2022 Member Months]])</f>
        <v>NA</v>
      </c>
      <c r="X28" s="118" t="str">
        <f>IF(ValbyACO_ICC3[[#This Row],[2022 Member Months]]=0,"NA",SUMIFS(ACOAETME2022[[#All],[Claims: Pharmacy]],ACOAETME2022[[#All],[Insurance Category Code]],$E$20,ACOAETME2022[[#All],[ACO/AE or Insurer Overall Organization ID]],ValbyACO_ICC3[[#This Row],[Org ID]])/ValbyACO_ICC3[[#This Row],[2022 Member Months]])</f>
        <v>NA</v>
      </c>
      <c r="Y28" s="118" t="str">
        <f>IF(ValbyACO_ICC3[[#This Row],[2022 Member Months]]=0,"NA",SUMIFS(ACOAETME2022[[#All],[Claims: Long-Term Care]],ACOAETME2022[[#All],[Insurance Category Code]],$E$20,ACOAETME2022[[#All],[ACO/AE or Insurer Overall Organization ID]],ValbyACO_ICC3[[#This Row],[Org ID]])/ValbyACO_ICC3[[#This Row],[2022 Member Months]])</f>
        <v>NA</v>
      </c>
      <c r="Z28" s="118" t="str">
        <f>IF(ValbyACO_ICC3[[#This Row],[2022 Member Months]]=0,"NA",SUMIFS(ACOAETME2022[[#All],[Claims: Other]],ACOAETME2022[[#All],[Insurance Category Code]],$E$20,ACOAETME2022[[#All],[ACO/AE or Insurer Overall Organization ID]],ValbyACO_ICC3[[#This Row],[Org ID]])/ValbyACO_ICC3[[#This Row],[2022 Member Months]])</f>
        <v>NA</v>
      </c>
      <c r="AA28" s="118" t="str">
        <f>IF(ValbyACO_ICC3[[#This Row],[2022 Member Months]]=0,"NA",SUMIFS(ACOAETME2022[[#All],[TOTAL Non-Truncated Unadjusted Claims Expenses]],ACOAETME2022[[#All],[Insurance Category Code]],$E$20,ACOAETME2022[[#All],[ACO/AE or Insurer Overall Organization ID]],ValbyACO_ICC3[[#This Row],[Org ID]])/ValbyACO_ICC3[[#This Row],[2022 Member Months]])</f>
        <v>NA</v>
      </c>
      <c r="AB28" s="118" t="str">
        <f>IF(ValbyACO_ICC3[[#This Row],[2022 Member Months]]=0,"NA",SUMIFS(ACOAETME2022[[#All],[TOTAL Truncated Unadjusted Expenses (A20+A21)]],ACOAETME2022[[#All],[Insurance Category Code]],$E$20,ACOAETME2022[[#All],[ACO/AE or Insurer Overall Organization ID]],ValbyACO_ICC3[[#This Row],[Org ID]])/ValbyACO_ICC3[[#This Row],[2022 Member Months]])</f>
        <v>NA</v>
      </c>
      <c r="AC28" s="118" t="str">
        <f>IF(ValbyACO_ICC3[[#This Row],[2022 Member Months]]=0,"NA",SUMIFS(ACOAETME2022[[#All],[TOTAL Non-Claims Expenses]],ACOAETME2022[[#All],[Insurance Category Code]],$E$20,ACOAETME2022[[#All],[ACO/AE or Insurer Overall Organization ID]],ValbyACO_ICC3[[#This Row],[Org ID]])/ValbyACO_ICC3[[#This Row],[2022 Member Months]])</f>
        <v>NA</v>
      </c>
      <c r="AD28" s="118" t="str">
        <f>IF(ValbyACO_ICC3[[#This Row],[2022 Member Months]]=0,"NA",SUMIFS(ACOAETME2022[[#All],[TOTAL Non-Truncated Unadjusted Expenses 
(A19+A21)]],ACOAETME2022[[#All],[Insurance Category Code]],$E$20,ACOAETME2022[[#All],[ACO/AE or Insurer Overall Organization ID]],ValbyACO_ICC3[[#This Row],[Org ID]])/ValbyACO_ICC3[[#This Row],[2022 Member Months]])</f>
        <v>NA</v>
      </c>
      <c r="AE28" s="119" t="str">
        <f>IF(ValbyACO_ICC3[[#This Row],[2022 Member Months]]=0,"NA",SUMIFS(ACOAETME2022[[#All],[TOTAL Truncated Unadjusted Expenses (A20+A21)]],ACOAETME2022[[#All],[Insurance Category Code]],$E$20,ACOAETME2022[[#All],[ACO/AE or Insurer Overall Organization ID]],ValbyACO_ICC3[[#This Row],[Org ID]])/ValbyACO_ICC3[[#This Row],[2022 Member Months]])</f>
        <v>NA</v>
      </c>
      <c r="AF28" s="160" t="str">
        <f>IFERROR(IF(ValbyACO_ICC3[[#This Row],[2021 Member Months]]=0,"NA",ValbyACO_ICC3[[#This Row],[2022 Member Months]]/ValbyACO_ICC3[[#This Row],[2021 Member Months]]-1),"NA")</f>
        <v>NA</v>
      </c>
      <c r="AG28" s="161" t="str">
        <f>IFERROR(IF(ValbyACO_ICC3[[#This Row],[2021 Member Months]]=0,"NA",ValbyACO_ICC3[[#This Row],[2022 Claims: Hospital Inpatient]]/ValbyACO_ICC3[[#This Row],[2021 Claims: Hospital Inpatient]]-1),"NA")</f>
        <v>NA</v>
      </c>
      <c r="AH28" s="162" t="str">
        <f>IFERROR(IF(ValbyACO_ICC3[[#This Row],[2021 Member Months]]=0,"NA",ValbyACO_ICC3[[#This Row],[2022 Claims: Hospital Outpatient]]/ValbyACO_ICC3[[#This Row],[2021 Claims: Hospital Outpatient]]-1),"NA")</f>
        <v>NA</v>
      </c>
      <c r="AI28" s="162" t="str">
        <f>IFERROR(IF(ValbyACO_ICC3[[#This Row],[2021 Member Months]]=0,"NA",ValbyACO_ICC3[[#This Row],[2022 Claims: Professional, Primary Care]]/ValbyACO_ICC3[[#This Row],[2021 Claims: Professional, Primary Care]]-1),"NA")</f>
        <v>NA</v>
      </c>
      <c r="AJ28" s="162" t="str">
        <f>IFERROR(IF(ValbyACO_ICC3[[#This Row],[2021 Member Months]]=0,"NA",ValbyACO_ICC3[[#This Row],[2022 Claims: Professional, Specialty Care]]/ValbyACO_ICC3[[#This Row],[2021 Claims: Professional, Specialty Care]]-1),"NA")</f>
        <v>NA</v>
      </c>
      <c r="AK28" s="162" t="str">
        <f>IFERROR(IF(ValbyACO_ICC3[[#This Row],[2021 Member Months]]=0,"NA", ValbyACO_ICC3[[#This Row],[2022 Claims: Professional Other]]/ValbyACO_ICC3[[#This Row],[2021 Claims: Professional Other]]-1),"NA")</f>
        <v>NA</v>
      </c>
      <c r="AL28" s="162" t="str">
        <f>IFERROR(IF(ValbyACO_ICC3[[#This Row],[2021 Member Months]]=0,"NA",ValbyACO_ICC3[[#This Row],[2022 Claims: Pharmacy (Gross of Retail Pharmacy Rebates)]]/ValbyACO_ICC3[[#This Row],[2021 Claims: Pharmacy (Gross of  Rebates)]]-1),"NA")</f>
        <v>NA</v>
      </c>
      <c r="AM28" s="162" t="str">
        <f>IFERROR(IF(ValbyACO_ICC3[[#This Row],[2021 Member Months]]=0,"NA",ValbyACO_ICC3[[#This Row],[2022 Claims: Long-term Care]]/ValbyACO_ICC3[[#This Row],[2021 Claims: Long-term Care]]-1),"NA")</f>
        <v>NA</v>
      </c>
      <c r="AN28" s="162" t="str">
        <f>IFERROR(IF(ValbyACO_ICC3[[#This Row],[2021 Member Months]]=0,"NA",ValbyACO_ICC3[[#This Row],[2022 Claims: Other]]/ValbyACO_ICC3[[#This Row],[2021 Claims: Other]]-1),"NA")</f>
        <v>NA</v>
      </c>
      <c r="AO28" s="163" t="str">
        <f>IFERROR(IF(ValbyACO_ICC3[[#This Row],[2021 Member Months]]=0,"NA",ValbyACO_ICC3[[#This Row],[2022 TOTAL Non-Truncated Claims Expenses]]/ValbyACO_ICC3[[#This Row],[2021 TOTAL Non-Truncated Claims Expenses]]-1),"NA")</f>
        <v>NA</v>
      </c>
      <c r="AP28" s="163" t="str">
        <f>IFERROR(IF(ValbyACO_ICC3[[#This Row],[2021 Member Months]]=0,"NA",ValbyACO_ICC3[[#This Row],[2022 TOTAL Truncated Claims Expenses]]/ValbyACO_ICC3[[#This Row],[2021 TOTAL Truncated Claims Expenses]]-1),"NA")</f>
        <v>NA</v>
      </c>
      <c r="AQ28" s="163" t="str">
        <f>IFERROR(IF(ValbyACO_ICC3[[#This Row],[2021 Member Months]]=0,"NA",ValbyACO_ICC3[[#This Row],[2022 TOTAL Non-Claims Expenses]]/ValbyACO_ICC3[[#This Row],[2021 TOTAL Non-Claims Expenses]]-1),"NA")</f>
        <v>NA</v>
      </c>
      <c r="AR28" s="163" t="str">
        <f>IFERROR(IF(ValbyACO_ICC3[[#This Row],[2021 Member Months]]=0,"NA",ValbyACO_ICC3[[#This Row],[2022 TOTAL Non-Truncated Total Expenses]]/ValbyACO_ICC3[[#This Row],[2021 TOTAL Non-Truncated Total Expenses]]-1),"NA")</f>
        <v>NA</v>
      </c>
      <c r="AS28" s="163" t="str">
        <f>IFERROR(IF(ValbyACO_ICC3[[#This Row],[2021 Member Months]]=0,"NA",ValbyACO_ICC3[[#This Row],[2022 TOTAL Truncated Total Expenses]]/ValbyACO_ICC3[[#This Row],[2021 TOTAL Truncated Total Expenses]]-1),"NA")</f>
        <v>NA</v>
      </c>
    </row>
    <row r="29" spans="1:45" x14ac:dyDescent="0.35">
      <c r="A29" s="129"/>
      <c r="B29" s="250">
        <v>108</v>
      </c>
      <c r="C29" s="131" t="s">
        <v>508</v>
      </c>
      <c r="D29" s="192">
        <f>SUMIFS(ACOAETME2021[[#All],[Member Months]], ACOAETME2021[[#All],[Insurance Category Code]], $E$20, ACOAETME2021[[#All],[ACO/AE or Insurer Overall Organization ID]], ValbyACO_ICC3[[#This Row],[Org ID]])</f>
        <v>0</v>
      </c>
      <c r="E29" s="268" t="str">
        <f>IFERROR(IF(ValbyACO_ICC3[[#This Row],[2021 Member Months]]=0,"NA",SUMIFS(ACOAETME2021[[#All],[Claims: Hospital Inpatient]], ACOAETME2021[[#All],[Insurance Category Code]], $E$20, ACOAETME2021[[#All],[ACO/AE or Insurer Overall Organization ID]], ValbyACO_ICC3[[#This Row],[Org ID]])/ValbyACO_ICC3[[#This Row],[2021 Member Months]]), "NA")</f>
        <v>NA</v>
      </c>
      <c r="F29" s="268" t="str">
        <f>IFERROR(IF(ValbyACO_ICC3[[#This Row],[2021 Member Months]]=0,"NA",SUMIFS(ACOAETME2021[[#All],[Claims: Hospital Outpatient]], ACOAETME2021[[#All],[Insurance Category Code]], $E$20, ACOAETME2021[[#All],[ACO/AE or Insurer Overall Organization ID]], ValbyACO_ICC3[[#This Row],[Org ID]])/ValbyACO_ICC3[[#This Row],[2021 Member Months]]), "NA")</f>
        <v>NA</v>
      </c>
      <c r="G29" s="268" t="str">
        <f>IFERROR(IF(ValbyACO_ICC3[[#This Row],[2021 Member Months]]=0,"NA",SUMIFS(ACOAETME2021[[#All],[Claims: Professional, Primary Care]], ACOAETME2021[[#All],[Insurance Category Code]], $E$20, ACOAETME2021[[#All],[ACO/AE or Insurer Overall Organization ID]], ValbyACO_ICC3[[#This Row],[Org ID]])/ValbyACO_ICC3[[#This Row],[2021 Member Months]]), "NA")</f>
        <v>NA</v>
      </c>
      <c r="H29" s="268" t="str">
        <f>IFERROR(IF(ValbyACO_ICC3[[#This Row],[2021 Member Months]]=0,"NA",SUMIFS(ACOAETME2021[[#All],[Claims: Professional, Specialty Care]], ACOAETME2021[[#All],[Insurance Category Code]], $E$20, ACOAETME2021[[#All],[ACO/AE or Insurer Overall Organization ID]], ValbyACO_ICC3[[#This Row],[Org ID]])/ValbyACO_ICC3[[#This Row],[2021 Member Months]]), "NA")</f>
        <v>NA</v>
      </c>
      <c r="I29" s="268" t="str">
        <f>IFERROR(IF(ValbyACO_ICC3[[#This Row],[2021 Member Months]]=0,"NA",SUMIFS(ACOAETME2021[[#All],[Claims: Professional Other]], ACOAETME2021[[#All],[Insurance Category Code]], $E$20, ACOAETME2021[[#All],[ACO/AE or Insurer Overall Organization ID]], ValbyACO_ICC3[[#This Row],[Org ID]])/ValbyACO_ICC3[[#This Row],[2021 Member Months]]), "NA")</f>
        <v>NA</v>
      </c>
      <c r="J29" s="268" t="str">
        <f>IFERROR(IF(ValbyACO_ICC3[[#This Row],[2021 Member Months]]=0,"NA",SUMIFS(ACOAETME2021[[#All],[Claims: Pharmacy]], ACOAETME2021[[#All],[Insurance Category Code]], $E$20, ACOAETME2021[[#All],[ACO/AE or Insurer Overall Organization ID]], ValbyACO_ICC3[[#This Row],[Org ID]])/ValbyACO_ICC3[[#This Row],[2021 Member Months]]), "NA")</f>
        <v>NA</v>
      </c>
      <c r="K29" s="268" t="str">
        <f>IFERROR(IF(ValbyACO_ICC3[[#This Row],[2021 Member Months]]=0,"NA",SUMIFS(ACOAETME2021[[#All],[Claims: Long-Term Care]], ACOAETME2021[[#All],[Insurance Category Code]], $E$20, ACOAETME2021[[#All],[ACO/AE or Insurer Overall Organization ID]], ValbyACO_ICC3[[#This Row],[Org ID]])/ValbyACO_ICC3[[#This Row],[2021 Member Months]]), "NA")</f>
        <v>NA</v>
      </c>
      <c r="L29" s="268" t="str">
        <f>IFERROR(IF(ValbyACO_ICC3[[#This Row],[2021 Member Months]]=0,"NA",SUMIFS(ACOAETME2021[[#All],[Claims: Other]], ACOAETME2021[[#All],[Insurance Category Code]], $E$20, ACOAETME2021[[#All],[ACO/AE or Insurer Overall Organization ID]], ValbyACO_ICC3[[#This Row],[Org ID]])/ValbyACO_ICC3[[#This Row],[2021 Member Months]]), "NA")</f>
        <v>NA</v>
      </c>
      <c r="M29" s="118" t="str">
        <f>IF(ValbyACO_ICC3[[#This Row],[2021 Member Months]]=0,"NA",SUMIFS(ACOAETME2021[[#All],[TOTAL Non-Truncated Unadjusted Claims Expenses]], ACOAETME2021[[#All],[Insurance Category Code]], $E$20, ACOAETME2021[[#All],[ACO/AE or Insurer Overall Organization ID]], ValbyACO_ICC3[[#This Row],[Org ID]])/ValbyACO_ICC3[[#This Row],[2021 Member Months]])</f>
        <v>NA</v>
      </c>
      <c r="N29" s="118" t="str">
        <f>IF(ValbyACO_ICC3[[#This Row],[2021 Member Months]]=0,"NA",SUMIFS(ACOAETME2021[[#All],[TOTAL Truncated Unadjusted Claims Expenses (A19 - A17)]], ACOAETME2021[[#All],[Insurance Category Code]], $E$20, ACOAETME2021[[#All],[ACO/AE or Insurer Overall Organization ID]], ValbyACO_ICC3[[#This Row],[Org ID]])/ValbyACO_ICC3[[#This Row],[2021 Member Months]])</f>
        <v>NA</v>
      </c>
      <c r="O29" s="118" t="str">
        <f>IF(ValbyACO_ICC3[[#This Row],[2021 Member Months]]=0,"NA",SUMIFS(ACOAETME2021[[#All],[TOTAL Non-Claims Expenses]], ACOAETME2021[[#All],[Insurance Category Code]], $E$20, ACOAETME2021[[#All],[ACO/AE or Insurer Overall Organization ID]], ValbyACO_ICC3[[#This Row],[Org ID]])/ValbyACO_ICC3[[#This Row],[2021 Member Months]])</f>
        <v>NA</v>
      </c>
      <c r="P29" s="350" t="str">
        <f>IF(ValbyACO_ICC3[[#This Row],[2021 Member Months]]=0, "NA", SUMIFS(ACOAETME2021[[#All],[TOTAL Non-Truncated Unadjusted Expenses 
(A19+A21)]], ACOAETME2021[[#All],[Insurance Category Code]], $E$20, ACOAETME2021[[#All],[ACO/AE or Insurer Overall Organization ID]], ValbyACO_ICC3[[#This Row],[Org ID]])/ValbyACO_ICC3[[#This Row],[2021 Member Months]])</f>
        <v>NA</v>
      </c>
      <c r="Q29" s="119" t="str">
        <f>IF(ValbyACO_ICC3[[#This Row],[2021 Member Months]]=0, "NA", SUMIFS(ACOAETME2021[[#All],[TOTAL Truncated Unadjusted Expenses (A20+A21)]], ACOAETME2021[[#All],[Insurance Category Code]], $E$20, ACOAETME2021[[#All],[ACO/AE or Insurer Overall Organization ID]], ValbyACO_ICC3[[#This Row],[Org ID]])/ValbyACO_ICC3[[#This Row],[2021 Member Months]])</f>
        <v>NA</v>
      </c>
      <c r="R29" s="192">
        <f>SUMIFS(ACOAETME2022[[#All],[Member Months]],ACOAETME2022[[#All],[Insurance Category Code]],$E$20,ACOAETME2022[[#All],[ACO/AE or Insurer Overall Organization ID]],ValbyACO_ICC3[[#This Row],[Org ID]])</f>
        <v>0</v>
      </c>
      <c r="S29" s="118" t="str">
        <f>IF(ValbyACO_ICC3[[#This Row],[2022 Member Months]]=0,"NA",SUMIFS(ACOAETME2022[[#All],[Claims: Hospital Inpatient]],ACOAETME2022[[#All],[Insurance Category Code]],$E$20,ACOAETME2022[[#All],[ACO/AE or Insurer Overall Organization ID]],ValbyACO_ICC3[[#This Row],[Org ID]])/ValbyACO_ICC3[[#This Row],[2022 Member Months]])</f>
        <v>NA</v>
      </c>
      <c r="T29" s="118" t="str">
        <f>IF(ValbyACO_ICC3[[#This Row],[2022 Member Months]]=0,"NA",SUMIFS(ACOAETME2022[[#All],[Claims: Hospital Outpatient]],ACOAETME2022[[#All],[Insurance Category Code]],$E$20,ACOAETME2022[[#All],[ACO/AE or Insurer Overall Organization ID]],ValbyACO_ICC3[[#This Row],[Org ID]])/ValbyACO_ICC3[[#This Row],[2022 Member Months]])</f>
        <v>NA</v>
      </c>
      <c r="U29" s="118" t="str">
        <f>IF(ValbyACO_ICC3[[#This Row],[2022 Member Months]]=0,"NA",SUMIFS(ACOAETME2022[[#All],[Claims: Professional, Primary Care]],ACOAETME2022[[#All],[Insurance Category Code]],$E$20,ACOAETME2022[[#All],[ACO/AE or Insurer Overall Organization ID]],ValbyACO_ICC3[[#This Row],[Org ID]])/ValbyACO_ICC3[[#This Row],[2022 Member Months]])</f>
        <v>NA</v>
      </c>
      <c r="V29" s="118" t="str">
        <f>IF(ValbyACO_ICC3[[#This Row],[2022 Member Months]]=0,"NA",SUMIFS(ACOAETME2022[[#All],[Claims: Professional, Specialty Care]],ACOAETME2022[[#All],[Insurance Category Code]],$E$20,ACOAETME2022[[#All],[ACO/AE or Insurer Overall Organization ID]],ValbyACO_ICC3[[#This Row],[Org ID]])/ValbyACO_ICC3[[#This Row],[2022 Member Months]])</f>
        <v>NA</v>
      </c>
      <c r="W29" s="118" t="str">
        <f>IF(ValbyACO_ICC3[[#This Row],[2022 Member Months]]=0,"NA",SUMIFS(ACOAETME2022[[#All],[Claims: Professional Other]],ACOAETME2022[[#All],[Insurance Category Code]],$E$20,ACOAETME2022[[#All],[ACO/AE or Insurer Overall Organization ID]],ValbyACO_ICC3[[#This Row],[Org ID]])/ValbyACO_ICC3[[#This Row],[2022 Member Months]])</f>
        <v>NA</v>
      </c>
      <c r="X29" s="118" t="str">
        <f>IF(ValbyACO_ICC3[[#This Row],[2022 Member Months]]=0,"NA",SUMIFS(ACOAETME2022[[#All],[Claims: Pharmacy]],ACOAETME2022[[#All],[Insurance Category Code]],$E$20,ACOAETME2022[[#All],[ACO/AE or Insurer Overall Organization ID]],ValbyACO_ICC3[[#This Row],[Org ID]])/ValbyACO_ICC3[[#This Row],[2022 Member Months]])</f>
        <v>NA</v>
      </c>
      <c r="Y29" s="118" t="str">
        <f>IF(ValbyACO_ICC3[[#This Row],[2022 Member Months]]=0,"NA",SUMIFS(ACOAETME2022[[#All],[Claims: Long-Term Care]],ACOAETME2022[[#All],[Insurance Category Code]],$E$20,ACOAETME2022[[#All],[ACO/AE or Insurer Overall Organization ID]],ValbyACO_ICC3[[#This Row],[Org ID]])/ValbyACO_ICC3[[#This Row],[2022 Member Months]])</f>
        <v>NA</v>
      </c>
      <c r="Z29" s="118" t="str">
        <f>IF(ValbyACO_ICC3[[#This Row],[2022 Member Months]]=0,"NA",SUMIFS(ACOAETME2022[[#All],[Claims: Other]],ACOAETME2022[[#All],[Insurance Category Code]],$E$20,ACOAETME2022[[#All],[ACO/AE or Insurer Overall Organization ID]],ValbyACO_ICC3[[#This Row],[Org ID]])/ValbyACO_ICC3[[#This Row],[2022 Member Months]])</f>
        <v>NA</v>
      </c>
      <c r="AA29" s="118" t="str">
        <f>IF(ValbyACO_ICC3[[#This Row],[2022 Member Months]]=0,"NA",SUMIFS(ACOAETME2022[[#All],[TOTAL Non-Truncated Unadjusted Claims Expenses]],ACOAETME2022[[#All],[Insurance Category Code]],$E$20,ACOAETME2022[[#All],[ACO/AE or Insurer Overall Organization ID]],ValbyACO_ICC3[[#This Row],[Org ID]])/ValbyACO_ICC3[[#This Row],[2022 Member Months]])</f>
        <v>NA</v>
      </c>
      <c r="AB29" s="118" t="str">
        <f>IF(ValbyACO_ICC3[[#This Row],[2022 Member Months]]=0,"NA",SUMIFS(ACOAETME2022[[#All],[TOTAL Truncated Unadjusted Expenses (A20+A21)]],ACOAETME2022[[#All],[Insurance Category Code]],$E$20,ACOAETME2022[[#All],[ACO/AE or Insurer Overall Organization ID]],ValbyACO_ICC3[[#This Row],[Org ID]])/ValbyACO_ICC3[[#This Row],[2022 Member Months]])</f>
        <v>NA</v>
      </c>
      <c r="AC29" s="118" t="str">
        <f>IF(ValbyACO_ICC3[[#This Row],[2022 Member Months]]=0,"NA",SUMIFS(ACOAETME2022[[#All],[TOTAL Non-Claims Expenses]],ACOAETME2022[[#All],[Insurance Category Code]],$E$20,ACOAETME2022[[#All],[ACO/AE or Insurer Overall Organization ID]],ValbyACO_ICC3[[#This Row],[Org ID]])/ValbyACO_ICC3[[#This Row],[2022 Member Months]])</f>
        <v>NA</v>
      </c>
      <c r="AD29" s="118" t="str">
        <f>IF(ValbyACO_ICC3[[#This Row],[2022 Member Months]]=0,"NA",SUMIFS(ACOAETME2022[[#All],[TOTAL Non-Truncated Unadjusted Expenses 
(A19+A21)]],ACOAETME2022[[#All],[Insurance Category Code]],$E$20,ACOAETME2022[[#All],[ACO/AE or Insurer Overall Organization ID]],ValbyACO_ICC3[[#This Row],[Org ID]])/ValbyACO_ICC3[[#This Row],[2022 Member Months]])</f>
        <v>NA</v>
      </c>
      <c r="AE29" s="119" t="str">
        <f>IF(ValbyACO_ICC3[[#This Row],[2022 Member Months]]=0,"NA",SUMIFS(ACOAETME2022[[#All],[TOTAL Truncated Unadjusted Expenses (A20+A21)]],ACOAETME2022[[#All],[Insurance Category Code]],$E$20,ACOAETME2022[[#All],[ACO/AE or Insurer Overall Organization ID]],ValbyACO_ICC3[[#This Row],[Org ID]])/ValbyACO_ICC3[[#This Row],[2022 Member Months]])</f>
        <v>NA</v>
      </c>
      <c r="AF29" s="160" t="str">
        <f>IFERROR(IF(ValbyACO_ICC3[[#This Row],[2021 Member Months]]=0,"NA",ValbyACO_ICC3[[#This Row],[2022 Member Months]]/ValbyACO_ICC3[[#This Row],[2021 Member Months]]-1),"NA")</f>
        <v>NA</v>
      </c>
      <c r="AG29" s="161" t="str">
        <f>IFERROR(IF(ValbyACO_ICC3[[#This Row],[2021 Member Months]]=0,"NA",ValbyACO_ICC3[[#This Row],[2022 Claims: Hospital Inpatient]]/ValbyACO_ICC3[[#This Row],[2021 Claims: Hospital Inpatient]]-1),"NA")</f>
        <v>NA</v>
      </c>
      <c r="AH29" s="162" t="str">
        <f>IFERROR(IF(ValbyACO_ICC3[[#This Row],[2021 Member Months]]=0,"NA",ValbyACO_ICC3[[#This Row],[2022 Claims: Hospital Outpatient]]/ValbyACO_ICC3[[#This Row],[2021 Claims: Hospital Outpatient]]-1),"NA")</f>
        <v>NA</v>
      </c>
      <c r="AI29" s="162" t="str">
        <f>IFERROR(IF(ValbyACO_ICC3[[#This Row],[2021 Member Months]]=0,"NA",ValbyACO_ICC3[[#This Row],[2022 Claims: Professional, Primary Care]]/ValbyACO_ICC3[[#This Row],[2021 Claims: Professional, Primary Care]]-1),"NA")</f>
        <v>NA</v>
      </c>
      <c r="AJ29" s="162" t="str">
        <f>IFERROR(IF(ValbyACO_ICC3[[#This Row],[2021 Member Months]]=0,"NA",ValbyACO_ICC3[[#This Row],[2022 Claims: Professional, Specialty Care]]/ValbyACO_ICC3[[#This Row],[2021 Claims: Professional, Specialty Care]]-1),"NA")</f>
        <v>NA</v>
      </c>
      <c r="AK29" s="162" t="str">
        <f>IFERROR(IF(ValbyACO_ICC3[[#This Row],[2021 Member Months]]=0,"NA", ValbyACO_ICC3[[#This Row],[2022 Claims: Professional Other]]/ValbyACO_ICC3[[#This Row],[2021 Claims: Professional Other]]-1),"NA")</f>
        <v>NA</v>
      </c>
      <c r="AL29" s="162" t="str">
        <f>IFERROR(IF(ValbyACO_ICC3[[#This Row],[2021 Member Months]]=0,"NA",ValbyACO_ICC3[[#This Row],[2022 Claims: Pharmacy (Gross of Retail Pharmacy Rebates)]]/ValbyACO_ICC3[[#This Row],[2021 Claims: Pharmacy (Gross of  Rebates)]]-1),"NA")</f>
        <v>NA</v>
      </c>
      <c r="AM29" s="162" t="str">
        <f>IFERROR(IF(ValbyACO_ICC3[[#This Row],[2021 Member Months]]=0,"NA",ValbyACO_ICC3[[#This Row],[2022 Claims: Long-term Care]]/ValbyACO_ICC3[[#This Row],[2021 Claims: Long-term Care]]-1),"NA")</f>
        <v>NA</v>
      </c>
      <c r="AN29" s="162" t="str">
        <f>IFERROR(IF(ValbyACO_ICC3[[#This Row],[2021 Member Months]]=0,"NA",ValbyACO_ICC3[[#This Row],[2022 Claims: Other]]/ValbyACO_ICC3[[#This Row],[2021 Claims: Other]]-1),"NA")</f>
        <v>NA</v>
      </c>
      <c r="AO29" s="163" t="str">
        <f>IFERROR(IF(ValbyACO_ICC3[[#This Row],[2021 Member Months]]=0,"NA",ValbyACO_ICC3[[#This Row],[2022 TOTAL Non-Truncated Claims Expenses]]/ValbyACO_ICC3[[#This Row],[2021 TOTAL Non-Truncated Claims Expenses]]-1),"NA")</f>
        <v>NA</v>
      </c>
      <c r="AP29" s="163" t="str">
        <f>IFERROR(IF(ValbyACO_ICC3[[#This Row],[2021 Member Months]]=0,"NA",ValbyACO_ICC3[[#This Row],[2022 TOTAL Truncated Claims Expenses]]/ValbyACO_ICC3[[#This Row],[2021 TOTAL Truncated Claims Expenses]]-1),"NA")</f>
        <v>NA</v>
      </c>
      <c r="AQ29" s="163" t="str">
        <f>IFERROR(IF(ValbyACO_ICC3[[#This Row],[2021 Member Months]]=0,"NA",ValbyACO_ICC3[[#This Row],[2022 TOTAL Non-Claims Expenses]]/ValbyACO_ICC3[[#This Row],[2021 TOTAL Non-Claims Expenses]]-1),"NA")</f>
        <v>NA</v>
      </c>
      <c r="AR29" s="163" t="str">
        <f>IFERROR(IF(ValbyACO_ICC3[[#This Row],[2021 Member Months]]=0,"NA",ValbyACO_ICC3[[#This Row],[2022 TOTAL Non-Truncated Total Expenses]]/ValbyACO_ICC3[[#This Row],[2021 TOTAL Non-Truncated Total Expenses]]-1),"NA")</f>
        <v>NA</v>
      </c>
      <c r="AS29" s="163" t="str">
        <f>IFERROR(IF(ValbyACO_ICC3[[#This Row],[2021 Member Months]]=0,"NA",ValbyACO_ICC3[[#This Row],[2022 TOTAL Truncated Total Expenses]]/ValbyACO_ICC3[[#This Row],[2021 TOTAL Truncated Total Expenses]]-1),"NA")</f>
        <v>NA</v>
      </c>
    </row>
    <row r="30" spans="1:45" x14ac:dyDescent="0.35">
      <c r="A30" s="129"/>
      <c r="B30" s="250">
        <v>999</v>
      </c>
      <c r="C30" s="131" t="s">
        <v>172</v>
      </c>
      <c r="D30" s="192">
        <f>SUMIFS(ACOAETME2021[[#All],[Member Months]], ACOAETME2021[[#All],[Insurance Category Code]], $E$20, ACOAETME2021[[#All],[ACO/AE or Insurer Overall Organization ID]], ValbyACO_ICC3[[#This Row],[Org ID]])</f>
        <v>0</v>
      </c>
      <c r="E30" s="268" t="str">
        <f>IFERROR(IF(ValbyACO_ICC3[[#This Row],[2021 Member Months]]=0,"NA",SUMIFS(ACOAETME2021[[#All],[Claims: Hospital Inpatient]], ACOAETME2021[[#All],[Insurance Category Code]], $E$20, ACOAETME2021[[#All],[ACO/AE or Insurer Overall Organization ID]], ValbyACO_ICC3[[#This Row],[Org ID]])/ValbyACO_ICC3[[#This Row],[2021 Member Months]]), "NA")</f>
        <v>NA</v>
      </c>
      <c r="F30" s="268" t="str">
        <f>IFERROR(IF(ValbyACO_ICC3[[#This Row],[2021 Member Months]]=0,"NA",SUMIFS(ACOAETME2021[[#All],[Claims: Hospital Outpatient]], ACOAETME2021[[#All],[Insurance Category Code]], $E$20, ACOAETME2021[[#All],[ACO/AE or Insurer Overall Organization ID]], ValbyACO_ICC3[[#This Row],[Org ID]])/ValbyACO_ICC3[[#This Row],[2021 Member Months]]), "NA")</f>
        <v>NA</v>
      </c>
      <c r="G30" s="268" t="str">
        <f>IFERROR(IF(ValbyACO_ICC3[[#This Row],[2021 Member Months]]=0,"NA",SUMIFS(ACOAETME2021[[#All],[Claims: Professional, Primary Care]], ACOAETME2021[[#All],[Insurance Category Code]], $E$20, ACOAETME2021[[#All],[ACO/AE or Insurer Overall Organization ID]], ValbyACO_ICC3[[#This Row],[Org ID]])/ValbyACO_ICC3[[#This Row],[2021 Member Months]]), "NA")</f>
        <v>NA</v>
      </c>
      <c r="H30" s="268" t="str">
        <f>IFERROR(IF(ValbyACO_ICC3[[#This Row],[2021 Member Months]]=0,"NA",SUMIFS(ACOAETME2021[[#All],[Claims: Professional, Specialty Care]], ACOAETME2021[[#All],[Insurance Category Code]], $E$20, ACOAETME2021[[#All],[ACO/AE or Insurer Overall Organization ID]], ValbyACO_ICC3[[#This Row],[Org ID]])/ValbyACO_ICC3[[#This Row],[2021 Member Months]]), "NA")</f>
        <v>NA</v>
      </c>
      <c r="I30" s="268" t="str">
        <f>IFERROR(IF(ValbyACO_ICC3[[#This Row],[2021 Member Months]]=0,"NA",SUMIFS(ACOAETME2021[[#All],[Claims: Professional Other]], ACOAETME2021[[#All],[Insurance Category Code]], $E$20, ACOAETME2021[[#All],[ACO/AE or Insurer Overall Organization ID]], ValbyACO_ICC3[[#This Row],[Org ID]])/ValbyACO_ICC3[[#This Row],[2021 Member Months]]), "NA")</f>
        <v>NA</v>
      </c>
      <c r="J30" s="268" t="str">
        <f>IFERROR(IF(ValbyACO_ICC3[[#This Row],[2021 Member Months]]=0,"NA",SUMIFS(ACOAETME2021[[#All],[Claims: Pharmacy]], ACOAETME2021[[#All],[Insurance Category Code]], $E$20, ACOAETME2021[[#All],[ACO/AE or Insurer Overall Organization ID]], ValbyACO_ICC3[[#This Row],[Org ID]])/ValbyACO_ICC3[[#This Row],[2021 Member Months]]), "NA")</f>
        <v>NA</v>
      </c>
      <c r="K30" s="268" t="str">
        <f>IFERROR(IF(ValbyACO_ICC3[[#This Row],[2021 Member Months]]=0,"NA",SUMIFS(ACOAETME2021[[#All],[Claims: Long-Term Care]], ACOAETME2021[[#All],[Insurance Category Code]], $E$20, ACOAETME2021[[#All],[ACO/AE or Insurer Overall Organization ID]], ValbyACO_ICC3[[#This Row],[Org ID]])/ValbyACO_ICC3[[#This Row],[2021 Member Months]]), "NA")</f>
        <v>NA</v>
      </c>
      <c r="L30" s="268" t="str">
        <f>IFERROR(IF(ValbyACO_ICC3[[#This Row],[2021 Member Months]]=0,"NA",SUMIFS(ACOAETME2021[[#All],[Claims: Other]], ACOAETME2021[[#All],[Insurance Category Code]], $E$20, ACOAETME2021[[#All],[ACO/AE or Insurer Overall Organization ID]], ValbyACO_ICC3[[#This Row],[Org ID]])/ValbyACO_ICC3[[#This Row],[2021 Member Months]]), "NA")</f>
        <v>NA</v>
      </c>
      <c r="M30" s="118" t="str">
        <f>IF(ValbyACO_ICC3[[#This Row],[2021 Member Months]]=0,"NA",SUMIFS(ACOAETME2021[[#All],[TOTAL Non-Truncated Unadjusted Claims Expenses]], ACOAETME2021[[#All],[Insurance Category Code]], $E$20, ACOAETME2021[[#All],[ACO/AE or Insurer Overall Organization ID]], ValbyACO_ICC3[[#This Row],[Org ID]])/ValbyACO_ICC3[[#This Row],[2021 Member Months]])</f>
        <v>NA</v>
      </c>
      <c r="N30" s="118" t="str">
        <f>IF(ValbyACO_ICC3[[#This Row],[2021 Member Months]]=0,"NA",SUMIFS(ACOAETME2021[[#All],[TOTAL Truncated Unadjusted Claims Expenses (A19 - A17)]], ACOAETME2021[[#All],[Insurance Category Code]], $E$20, ACOAETME2021[[#All],[ACO/AE or Insurer Overall Organization ID]], ValbyACO_ICC3[[#This Row],[Org ID]])/ValbyACO_ICC3[[#This Row],[2021 Member Months]])</f>
        <v>NA</v>
      </c>
      <c r="O30" s="118" t="str">
        <f>IF(ValbyACO_ICC3[[#This Row],[2021 Member Months]]=0,"NA",SUMIFS(ACOAETME2021[[#All],[TOTAL Non-Claims Expenses]], ACOAETME2021[[#All],[Insurance Category Code]], $E$20, ACOAETME2021[[#All],[ACO/AE or Insurer Overall Organization ID]], ValbyACO_ICC3[[#This Row],[Org ID]])/ValbyACO_ICC3[[#This Row],[2021 Member Months]])</f>
        <v>NA</v>
      </c>
      <c r="P30" s="350" t="str">
        <f>IF(ValbyACO_ICC3[[#This Row],[2021 Member Months]]=0, "NA", SUMIFS(ACOAETME2021[[#All],[TOTAL Non-Truncated Unadjusted Expenses 
(A19+A21)]], ACOAETME2021[[#All],[Insurance Category Code]], $E$20, ACOAETME2021[[#All],[ACO/AE or Insurer Overall Organization ID]], ValbyACO_ICC3[[#This Row],[Org ID]])/ValbyACO_ICC3[[#This Row],[2021 Member Months]])</f>
        <v>NA</v>
      </c>
      <c r="Q30" s="119" t="str">
        <f>IF(ValbyACO_ICC3[[#This Row],[2021 Member Months]]=0, "NA", SUMIFS(ACOAETME2021[[#All],[TOTAL Truncated Unadjusted Expenses (A20+A21)]], ACOAETME2021[[#All],[Insurance Category Code]], $E$20, ACOAETME2021[[#All],[ACO/AE or Insurer Overall Organization ID]], ValbyACO_ICC3[[#This Row],[Org ID]])/ValbyACO_ICC3[[#This Row],[2021 Member Months]])</f>
        <v>NA</v>
      </c>
      <c r="R30" s="192">
        <f>SUMIFS(ACOAETME2022[[#All],[Member Months]],ACOAETME2022[[#All],[Insurance Category Code]],$E$20,ACOAETME2022[[#All],[ACO/AE or Insurer Overall Organization ID]],ValbyACO_ICC3[[#This Row],[Org ID]])</f>
        <v>0</v>
      </c>
      <c r="S30" s="118" t="str">
        <f>IF(ValbyACO_ICC3[[#This Row],[2022 Member Months]]=0,"NA",SUMIFS(ACOAETME2022[[#All],[Claims: Hospital Inpatient]],ACOAETME2022[[#All],[Insurance Category Code]],$E$20,ACOAETME2022[[#All],[ACO/AE or Insurer Overall Organization ID]],ValbyACO_ICC3[[#This Row],[Org ID]])/ValbyACO_ICC3[[#This Row],[2022 Member Months]])</f>
        <v>NA</v>
      </c>
      <c r="T30" s="118" t="str">
        <f>IF(ValbyACO_ICC3[[#This Row],[2022 Member Months]]=0,"NA",SUMIFS(ACOAETME2022[[#All],[Claims: Hospital Outpatient]],ACOAETME2022[[#All],[Insurance Category Code]],$E$20,ACOAETME2022[[#All],[ACO/AE or Insurer Overall Organization ID]],ValbyACO_ICC3[[#This Row],[Org ID]])/ValbyACO_ICC3[[#This Row],[2022 Member Months]])</f>
        <v>NA</v>
      </c>
      <c r="U30" s="118" t="str">
        <f>IF(ValbyACO_ICC3[[#This Row],[2022 Member Months]]=0,"NA",SUMIFS(ACOAETME2022[[#All],[Claims: Professional, Primary Care]],ACOAETME2022[[#All],[Insurance Category Code]],$E$20,ACOAETME2022[[#All],[ACO/AE or Insurer Overall Organization ID]],ValbyACO_ICC3[[#This Row],[Org ID]])/ValbyACO_ICC3[[#This Row],[2022 Member Months]])</f>
        <v>NA</v>
      </c>
      <c r="V30" s="118" t="str">
        <f>IF(ValbyACO_ICC3[[#This Row],[2022 Member Months]]=0,"NA",SUMIFS(ACOAETME2022[[#All],[Claims: Professional, Specialty Care]],ACOAETME2022[[#All],[Insurance Category Code]],$E$20,ACOAETME2022[[#All],[ACO/AE or Insurer Overall Organization ID]],ValbyACO_ICC3[[#This Row],[Org ID]])/ValbyACO_ICC3[[#This Row],[2022 Member Months]])</f>
        <v>NA</v>
      </c>
      <c r="W30" s="118" t="str">
        <f>IF(ValbyACO_ICC3[[#This Row],[2022 Member Months]]=0,"NA",SUMIFS(ACOAETME2022[[#All],[Claims: Professional Other]],ACOAETME2022[[#All],[Insurance Category Code]],$E$20,ACOAETME2022[[#All],[ACO/AE or Insurer Overall Organization ID]],ValbyACO_ICC3[[#This Row],[Org ID]])/ValbyACO_ICC3[[#This Row],[2022 Member Months]])</f>
        <v>NA</v>
      </c>
      <c r="X30" s="118" t="str">
        <f>IF(ValbyACO_ICC3[[#This Row],[2022 Member Months]]=0,"NA",SUMIFS(ACOAETME2022[[#All],[Claims: Pharmacy]],ACOAETME2022[[#All],[Insurance Category Code]],$E$20,ACOAETME2022[[#All],[ACO/AE or Insurer Overall Organization ID]],ValbyACO_ICC3[[#This Row],[Org ID]])/ValbyACO_ICC3[[#This Row],[2022 Member Months]])</f>
        <v>NA</v>
      </c>
      <c r="Y30" s="118" t="str">
        <f>IF(ValbyACO_ICC3[[#This Row],[2022 Member Months]]=0,"NA",SUMIFS(ACOAETME2022[[#All],[Claims: Long-Term Care]],ACOAETME2022[[#All],[Insurance Category Code]],$E$20,ACOAETME2022[[#All],[ACO/AE or Insurer Overall Organization ID]],ValbyACO_ICC3[[#This Row],[Org ID]])/ValbyACO_ICC3[[#This Row],[2022 Member Months]])</f>
        <v>NA</v>
      </c>
      <c r="Z30" s="118" t="str">
        <f>IF(ValbyACO_ICC3[[#This Row],[2022 Member Months]]=0,"NA",SUMIFS(ACOAETME2022[[#All],[Claims: Other]],ACOAETME2022[[#All],[Insurance Category Code]],$E$20,ACOAETME2022[[#All],[ACO/AE or Insurer Overall Organization ID]],ValbyACO_ICC3[[#This Row],[Org ID]])/ValbyACO_ICC3[[#This Row],[2022 Member Months]])</f>
        <v>NA</v>
      </c>
      <c r="AA30" s="118" t="str">
        <f>IF(ValbyACO_ICC3[[#This Row],[2022 Member Months]]=0,"NA",SUMIFS(ACOAETME2022[[#All],[TOTAL Non-Truncated Unadjusted Claims Expenses]],ACOAETME2022[[#All],[Insurance Category Code]],$E$20,ACOAETME2022[[#All],[ACO/AE or Insurer Overall Organization ID]],ValbyACO_ICC3[[#This Row],[Org ID]])/ValbyACO_ICC3[[#This Row],[2022 Member Months]])</f>
        <v>NA</v>
      </c>
      <c r="AB30" s="118" t="str">
        <f>IF(ValbyACO_ICC3[[#This Row],[2022 Member Months]]=0,"NA",SUMIFS(ACOAETME2022[[#All],[TOTAL Truncated Unadjusted Expenses (A20+A21)]],ACOAETME2022[[#All],[Insurance Category Code]],$E$20,ACOAETME2022[[#All],[ACO/AE or Insurer Overall Organization ID]],ValbyACO_ICC3[[#This Row],[Org ID]])/ValbyACO_ICC3[[#This Row],[2022 Member Months]])</f>
        <v>NA</v>
      </c>
      <c r="AC30" s="118" t="str">
        <f>IF(ValbyACO_ICC3[[#This Row],[2022 Member Months]]=0,"NA",SUMIFS(ACOAETME2022[[#All],[TOTAL Non-Claims Expenses]],ACOAETME2022[[#All],[Insurance Category Code]],$E$20,ACOAETME2022[[#All],[ACO/AE or Insurer Overall Organization ID]],ValbyACO_ICC3[[#This Row],[Org ID]])/ValbyACO_ICC3[[#This Row],[2022 Member Months]])</f>
        <v>NA</v>
      </c>
      <c r="AD30" s="118" t="str">
        <f>IF(ValbyACO_ICC3[[#This Row],[2022 Member Months]]=0,"NA",SUMIFS(ACOAETME2022[[#All],[TOTAL Non-Truncated Unadjusted Expenses 
(A19+A21)]],ACOAETME2022[[#All],[Insurance Category Code]],$E$20,ACOAETME2022[[#All],[ACO/AE or Insurer Overall Organization ID]],ValbyACO_ICC3[[#This Row],[Org ID]])/ValbyACO_ICC3[[#This Row],[2022 Member Months]])</f>
        <v>NA</v>
      </c>
      <c r="AE30" s="119" t="str">
        <f>IF(ValbyACO_ICC3[[#This Row],[2022 Member Months]]=0,"NA",SUMIFS(ACOAETME2022[[#All],[TOTAL Truncated Unadjusted Expenses (A20+A21)]],ACOAETME2022[[#All],[Insurance Category Code]],$E$20,ACOAETME2022[[#All],[ACO/AE or Insurer Overall Organization ID]],ValbyACO_ICC3[[#This Row],[Org ID]])/ValbyACO_ICC3[[#This Row],[2022 Member Months]])</f>
        <v>NA</v>
      </c>
      <c r="AF30" s="160" t="str">
        <f>IFERROR(IF(ValbyACO_ICC3[[#This Row],[2021 Member Months]]=0,"NA",ValbyACO_ICC3[[#This Row],[2022 Member Months]]/ValbyACO_ICC3[[#This Row],[2021 Member Months]]-1),"NA")</f>
        <v>NA</v>
      </c>
      <c r="AG30" s="161" t="str">
        <f>IFERROR(IF(ValbyACO_ICC3[[#This Row],[2021 Member Months]]=0,"NA",ValbyACO_ICC3[[#This Row],[2022 Claims: Hospital Inpatient]]/ValbyACO_ICC3[[#This Row],[2021 Claims: Hospital Inpatient]]-1),"NA")</f>
        <v>NA</v>
      </c>
      <c r="AH30" s="162" t="str">
        <f>IFERROR(IF(ValbyACO_ICC3[[#This Row],[2021 Member Months]]=0,"NA",ValbyACO_ICC3[[#This Row],[2022 Claims: Hospital Outpatient]]/ValbyACO_ICC3[[#This Row],[2021 Claims: Hospital Outpatient]]-1),"NA")</f>
        <v>NA</v>
      </c>
      <c r="AI30" s="162" t="str">
        <f>IFERROR(IF(ValbyACO_ICC3[[#This Row],[2021 Member Months]]=0,"NA",ValbyACO_ICC3[[#This Row],[2022 Claims: Professional, Primary Care]]/ValbyACO_ICC3[[#This Row],[2021 Claims: Professional, Primary Care]]-1),"NA")</f>
        <v>NA</v>
      </c>
      <c r="AJ30" s="162" t="str">
        <f>IFERROR(IF(ValbyACO_ICC3[[#This Row],[2021 Member Months]]=0,"NA",ValbyACO_ICC3[[#This Row],[2022 Claims: Professional, Specialty Care]]/ValbyACO_ICC3[[#This Row],[2021 Claims: Professional, Specialty Care]]-1),"NA")</f>
        <v>NA</v>
      </c>
      <c r="AK30" s="162" t="str">
        <f>IFERROR(IF(ValbyACO_ICC3[[#This Row],[2021 Member Months]]=0,"NA", ValbyACO_ICC3[[#This Row],[2022 Claims: Professional Other]]/ValbyACO_ICC3[[#This Row],[2021 Claims: Professional Other]]-1),"NA")</f>
        <v>NA</v>
      </c>
      <c r="AL30" s="162" t="str">
        <f>IFERROR(IF(ValbyACO_ICC3[[#This Row],[2021 Member Months]]=0,"NA",ValbyACO_ICC3[[#This Row],[2022 Claims: Pharmacy (Gross of Retail Pharmacy Rebates)]]/ValbyACO_ICC3[[#This Row],[2021 Claims: Pharmacy (Gross of  Rebates)]]-1),"NA")</f>
        <v>NA</v>
      </c>
      <c r="AM30" s="162" t="str">
        <f>IFERROR(IF(ValbyACO_ICC3[[#This Row],[2021 Member Months]]=0,"NA",ValbyACO_ICC3[[#This Row],[2022 Claims: Long-term Care]]/ValbyACO_ICC3[[#This Row],[2021 Claims: Long-term Care]]-1),"NA")</f>
        <v>NA</v>
      </c>
      <c r="AN30" s="162" t="str">
        <f>IFERROR(IF(ValbyACO_ICC3[[#This Row],[2021 Member Months]]=0,"NA",ValbyACO_ICC3[[#This Row],[2022 Claims: Other]]/ValbyACO_ICC3[[#This Row],[2021 Claims: Other]]-1),"NA")</f>
        <v>NA</v>
      </c>
      <c r="AO30" s="163" t="str">
        <f>IFERROR(IF(ValbyACO_ICC3[[#This Row],[2021 Member Months]]=0,"NA",ValbyACO_ICC3[[#This Row],[2022 TOTAL Non-Truncated Claims Expenses]]/ValbyACO_ICC3[[#This Row],[2021 TOTAL Non-Truncated Claims Expenses]]-1),"NA")</f>
        <v>NA</v>
      </c>
      <c r="AP30" s="163" t="str">
        <f>IFERROR(IF(ValbyACO_ICC3[[#This Row],[2021 Member Months]]=0,"NA",ValbyACO_ICC3[[#This Row],[2022 TOTAL Truncated Claims Expenses]]/ValbyACO_ICC3[[#This Row],[2021 TOTAL Truncated Claims Expenses]]-1),"NA")</f>
        <v>NA</v>
      </c>
      <c r="AQ30" s="163" t="str">
        <f>IFERROR(IF(ValbyACO_ICC3[[#This Row],[2021 Member Months]]=0,"NA",ValbyACO_ICC3[[#This Row],[2022 TOTAL Non-Claims Expenses]]/ValbyACO_ICC3[[#This Row],[2021 TOTAL Non-Claims Expenses]]-1),"NA")</f>
        <v>NA</v>
      </c>
      <c r="AR30" s="163" t="str">
        <f>IFERROR(IF(ValbyACO_ICC3[[#This Row],[2021 Member Months]]=0,"NA",ValbyACO_ICC3[[#This Row],[2022 TOTAL Non-Truncated Total Expenses]]/ValbyACO_ICC3[[#This Row],[2021 TOTAL Non-Truncated Total Expenses]]-1),"NA")</f>
        <v>NA</v>
      </c>
      <c r="AS30" s="163" t="str">
        <f>IFERROR(IF(ValbyACO_ICC3[[#This Row],[2021 Member Months]]=0,"NA",ValbyACO_ICC3[[#This Row],[2022 TOTAL Truncated Total Expenses]]/ValbyACO_ICC3[[#This Row],[2021 TOTAL Truncated Total Expenses]]-1),"NA")</f>
        <v>NA</v>
      </c>
    </row>
    <row r="31" spans="1:45" x14ac:dyDescent="0.35">
      <c r="B31" s="251"/>
      <c r="C31" s="132" t="s">
        <v>118</v>
      </c>
      <c r="D31" s="193">
        <f>SUM(D22:D30)</f>
        <v>0</v>
      </c>
      <c r="E31" s="269" t="str">
        <f>IF(ValbyACO_ICC3[[#This Row],[2021 Member Months]]=0,"NA",SUMPRODUCT(E22:E30,D22:D30)/ValbyACO_ICC3[[#This Row],[2021 Member Months]])</f>
        <v>NA</v>
      </c>
      <c r="F31" s="315" t="str">
        <f>IF(ValbyACO_ICC3[[#This Row],[2021 Member Months]]=0,"NA",SUMPRODUCT(F22:F30,D22:D30)/ValbyACO_ICC3[[#This Row],[2021 Member Months]])</f>
        <v>NA</v>
      </c>
      <c r="G31" s="315" t="str">
        <f>IF(ValbyACO_ICC3[[#This Row],[2021 Member Months]]=0,"NA",SUMPRODUCT(G22:G30,D22:D30)/ValbyACO_ICC3[[#This Row],[2021 Member Months]])</f>
        <v>NA</v>
      </c>
      <c r="H31" s="315" t="str">
        <f>IF(ValbyACO_ICC3[[#This Row],[2021 Member Months]]=0,"NA",SUMPRODUCT(H22:H30,D22:D30)/ValbyACO_ICC3[[#This Row],[2021 Member Months]])</f>
        <v>NA</v>
      </c>
      <c r="I31" s="315" t="str">
        <f>IF(ValbyACO_ICC3[[#This Row],[2021 Member Months]]=0,"NA",SUMPRODUCT(I22:I30,D22:D30)/ValbyACO_ICC3[[#This Row],[2021 Member Months]])</f>
        <v>NA</v>
      </c>
      <c r="J31" s="315" t="str">
        <f>IF(ValbyACO_ICC3[[#This Row],[2021 Member Months]]=0,"NA",SUMPRODUCT(J22:J30,D22:D30)/ValbyACO_ICC3[[#This Row],[2021 Member Months]])</f>
        <v>NA</v>
      </c>
      <c r="K31" s="315" t="str">
        <f>IF(ValbyACO_ICC3[[#This Row],[2021 Member Months]]=0,"NA",SUMPRODUCT(K22:K30,D22:D30)/ValbyACO_ICC3[[#This Row],[2021 Member Months]])</f>
        <v>NA</v>
      </c>
      <c r="L31" s="315" t="str">
        <f>IF(ValbyACO_ICC3[[#This Row],[2021 Member Months]]=0,"NA",SUMPRODUCT(L22:L30,D22:D30)/ValbyACO_ICC3[[#This Row],[2021 Member Months]])</f>
        <v>NA</v>
      </c>
      <c r="M31" s="124" t="str">
        <f>IF(ValbyACO_ICC3[[#This Row],[2021 Member Months]]=0,"NA",SUMPRODUCT(M22:M30,D22:D30)/ValbyACO_ICC3[[#This Row],[2021 Member Months]])</f>
        <v>NA</v>
      </c>
      <c r="N31" s="124" t="str">
        <f>IF(ValbyACO_ICC3[[#This Row],[2021 Member Months]]=0,"NA",SUMPRODUCT(N22:N30,D22:D30)/ValbyACO_ICC3[[#This Row],[2021 Member Months]])</f>
        <v>NA</v>
      </c>
      <c r="O31" s="124" t="str">
        <f>IF(ValbyACO_ICC3[[#This Row],[2021 Member Months]]=0,"NA",SUMPRODUCT(O22:O30,D22:D30)/ValbyACO_ICC3[[#This Row],[2021 Member Months]])</f>
        <v>NA</v>
      </c>
      <c r="P31" s="124" t="str">
        <f>IF(ValbyACO_ICC3[[#This Row],[2021 Member Months]]=0,"NA",SUMPRODUCT(P22:P30,D22:D30)/ValbyACO_ICC3[[#This Row],[2021 Member Months]])</f>
        <v>NA</v>
      </c>
      <c r="Q31" s="125" t="str">
        <f>IF(ValbyACO_ICC3[[#This Row],[2021 Member Months]]=0,"NA",SUMPRODUCT(Q22:Q30,D22:D30)/ValbyACO_ICC3[[#This Row],[2021 Member Months]])</f>
        <v>NA</v>
      </c>
      <c r="R31" s="193">
        <f>SUM(R22:R30)</f>
        <v>0</v>
      </c>
      <c r="S31" s="123" t="str">
        <f>IF(ValbyACO_ICC3[[#This Row],[2022 Member Months]]=0,"NA",SUMPRODUCT(S22:S30,R22:R30)/ValbyACO_ICC3[[#This Row],[2022 Member Months]])</f>
        <v>NA</v>
      </c>
      <c r="T31" s="89" t="str">
        <f>IF(ValbyACO_ICC3[[#This Row],[2022 Member Months]]=0,"NA",SUMPRODUCT(T22:T30,R22:R30)/ValbyACO_ICC3[[#This Row],[2022 Member Months]])</f>
        <v>NA</v>
      </c>
      <c r="U31" s="89" t="str">
        <f>IF(ValbyACO_ICC3[[#This Row],[2022 Member Months]]=0,"NA",SUMPRODUCT(U22:U30,R22:R30)/ValbyACO_ICC3[[#This Row],[2022 Member Months]])</f>
        <v>NA</v>
      </c>
      <c r="V31" s="89" t="str">
        <f>IF(ValbyACO_ICC3[[#This Row],[2022 Member Months]]=0,"NA",SUMPRODUCT(V22:V30,R22:R30)/ValbyACO_ICC3[[#This Row],[2022 Member Months]])</f>
        <v>NA</v>
      </c>
      <c r="W31" s="89" t="str">
        <f>IF(ValbyACO_ICC3[[#This Row],[2022 Member Months]]=0,"NA",SUMPRODUCT(W22:W30,R22:R30)/ValbyACO_ICC3[[#This Row],[2022 Member Months]])</f>
        <v>NA</v>
      </c>
      <c r="X31" s="89" t="str">
        <f>IF(ValbyACO_ICC3[[#This Row],[2022 Member Months]]=0,"NA",SUMPRODUCT(X22:X30,R22:R30)/ValbyACO_ICC3[[#This Row],[2022 Member Months]])</f>
        <v>NA</v>
      </c>
      <c r="Y31" s="89" t="str">
        <f>IF(ValbyACO_ICC3[[#This Row],[2022 Member Months]]=0,"NA",SUMPRODUCT(Y22:Y30,R22:R30)/ValbyACO_ICC3[[#This Row],[2022 Member Months]])</f>
        <v>NA</v>
      </c>
      <c r="Z31" s="89" t="str">
        <f>IF(ValbyACO_ICC3[[#This Row],[2022 Member Months]]=0,"NA",SUMPRODUCT(Z22:Z30,R22:R30)/ValbyACO_ICC3[[#This Row],[2022 Member Months]])</f>
        <v>NA</v>
      </c>
      <c r="AA31" s="124" t="str">
        <f>IF(ValbyACO_ICC3[[#This Row],[2022 Member Months]]=0,"NA",SUMPRODUCT(AA22:AA30,R22:R30)/ValbyACO_ICC3[[#This Row],[2022 Member Months]])</f>
        <v>NA</v>
      </c>
      <c r="AB31" s="124" t="str">
        <f>IF(ValbyACO_ICC3[[#This Row],[2022 Member Months]]=0,"NA",SUMPRODUCT(AB22:AB30,R22:R30)/ValbyACO_ICC3[[#This Row],[2022 Member Months]])</f>
        <v>NA</v>
      </c>
      <c r="AC31" s="124" t="str">
        <f>IF(ValbyACO_ICC3[[#This Row],[2022 Member Months]]=0,"NA",SUMPRODUCT(AC22:AC30,R22:R30)/ValbyACO_ICC3[[#This Row],[2022 Member Months]])</f>
        <v>NA</v>
      </c>
      <c r="AD31" s="124" t="str">
        <f>IF(ValbyACO_ICC3[[#This Row],[2022 Member Months]]=0,"NA",SUMPRODUCT(AD22:AD30,R22:R30)/ValbyACO_ICC3[[#This Row],[2022 Member Months]])</f>
        <v>NA</v>
      </c>
      <c r="AE31" s="125" t="str">
        <f>IF(ValbyACO_ICC3[[#This Row],[2022 Member Months]]=0,"NA",SUMPRODUCT(AE22:AE30,R22:R30)/ValbyACO_ICC3[[#This Row],[2022 Member Months]])</f>
        <v>NA</v>
      </c>
      <c r="AF31" s="160" t="str">
        <f>IFERROR(IF(ValbyACO_ICC3[[#This Row],[2021 Member Months]]=0,"NA",ValbyACO_ICC3[[#This Row],[2022 Member Months]]/ValbyACO_ICC3[[#This Row],[2021 Member Months]]-1),"NA")</f>
        <v>NA</v>
      </c>
      <c r="AG31" s="161" t="str">
        <f>IFERROR(IF(ValbyACO_ICC3[[#This Row],[2021 Member Months]]=0,"NA",ValbyACO_ICC3[[#This Row],[2022 Claims: Hospital Inpatient]]/ValbyACO_ICC3[[#This Row],[2021 Claims: Hospital Inpatient]]-1),"NA")</f>
        <v>NA</v>
      </c>
      <c r="AH31" s="162" t="str">
        <f>IFERROR(IF(ValbyACO_ICC3[[#This Row],[2021 Member Months]]=0,"NA",ValbyACO_ICC3[[#This Row],[2022 Claims: Hospital Outpatient]]/ValbyACO_ICC3[[#This Row],[2021 Claims: Hospital Outpatient]]-1),"NA")</f>
        <v>NA</v>
      </c>
      <c r="AI31" s="162" t="str">
        <f>IFERROR(IF(ValbyACO_ICC3[[#This Row],[2021 Member Months]]=0,"NA",ValbyACO_ICC3[[#This Row],[2022 Claims: Professional, Primary Care]]/ValbyACO_ICC3[[#This Row],[2021 Claims: Professional, Primary Care]]-1),"NA")</f>
        <v>NA</v>
      </c>
      <c r="AJ31" s="162" t="str">
        <f>IFERROR(IF(ValbyACO_ICC3[[#This Row],[2021 Member Months]]=0,"NA",ValbyACO_ICC3[[#This Row],[2022 Claims: Professional, Specialty Care]]/ValbyACO_ICC3[[#This Row],[2021 Claims: Professional, Specialty Care]]-1),"NA")</f>
        <v>NA</v>
      </c>
      <c r="AK31" s="162" t="str">
        <f>IFERROR(IF(ValbyACO_ICC3[[#This Row],[2021 Member Months]]=0,"NA", ValbyACO_ICC3[[#This Row],[2022 Claims: Professional Other]]/ValbyACO_ICC3[[#This Row],[2021 Claims: Professional Other]]-1),"NA")</f>
        <v>NA</v>
      </c>
      <c r="AL31" s="162" t="str">
        <f>IFERROR(IF(ValbyACO_ICC3[[#This Row],[2021 Member Months]]=0,"NA",ValbyACO_ICC3[[#This Row],[2022 Claims: Pharmacy (Gross of Retail Pharmacy Rebates)]]/ValbyACO_ICC3[[#This Row],[2021 Claims: Pharmacy (Gross of  Rebates)]]-1),"NA")</f>
        <v>NA</v>
      </c>
      <c r="AM31" s="162" t="str">
        <f>IFERROR(IF(ValbyACO_ICC3[[#This Row],[2021 Member Months]]=0,"NA",ValbyACO_ICC3[[#This Row],[2022 Claims: Long-term Care]]/ValbyACO_ICC3[[#This Row],[2021 Claims: Long-term Care]]-1),"NA")</f>
        <v>NA</v>
      </c>
      <c r="AN31" s="162" t="str">
        <f>IFERROR(IF(ValbyACO_ICC3[[#This Row],[2021 Member Months]]=0,"NA",ValbyACO_ICC3[[#This Row],[2022 Claims: Other]]/ValbyACO_ICC3[[#This Row],[2021 Claims: Other]]-1),"NA")</f>
        <v>NA</v>
      </c>
      <c r="AO31" s="163" t="str">
        <f>IFERROR(IF(ValbyACO_ICC3[[#This Row],[2021 Member Months]]=0,"NA",ValbyACO_ICC3[[#This Row],[2022 TOTAL Non-Truncated Claims Expenses]]/ValbyACO_ICC3[[#This Row],[2021 TOTAL Non-Truncated Claims Expenses]]-1),"NA")</f>
        <v>NA</v>
      </c>
      <c r="AP31" s="163" t="str">
        <f>IFERROR(IF(ValbyACO_ICC3[[#This Row],[2021 Member Months]]=0,"NA",ValbyACO_ICC3[[#This Row],[2022 TOTAL Truncated Claims Expenses]]/ValbyACO_ICC3[[#This Row],[2021 TOTAL Truncated Claims Expenses]]-1),"NA")</f>
        <v>NA</v>
      </c>
      <c r="AQ31" s="163" t="str">
        <f>IFERROR(IF(ValbyACO_ICC3[[#This Row],[2021 Member Months]]=0,"NA",ValbyACO_ICC3[[#This Row],[2022 TOTAL Non-Claims Expenses]]/ValbyACO_ICC3[[#This Row],[2021 TOTAL Non-Claims Expenses]]-1),"NA")</f>
        <v>NA</v>
      </c>
      <c r="AR31" s="163" t="str">
        <f>IFERROR(IF(ValbyACO_ICC3[[#This Row],[2021 Member Months]]=0,"NA",ValbyACO_ICC3[[#This Row],[2022 TOTAL Non-Truncated Total Expenses]]/ValbyACO_ICC3[[#This Row],[2021 TOTAL Non-Truncated Total Expenses]]-1),"NA")</f>
        <v>NA</v>
      </c>
      <c r="AS31" s="163" t="str">
        <f>IFERROR(IF(ValbyACO_ICC3[[#This Row],[2021 Member Months]]=0,"NA",ValbyACO_ICC3[[#This Row],[2022 TOTAL Truncated Total Expenses]]/ValbyACO_ICC3[[#This Row],[2021 TOTAL Truncated Total Expenses]]-1),"NA")</f>
        <v>NA</v>
      </c>
    </row>
    <row r="32" spans="1:45" x14ac:dyDescent="0.35">
      <c r="B32" s="255"/>
      <c r="C32" s="256" t="s">
        <v>119</v>
      </c>
      <c r="D32" s="257">
        <f t="shared" ref="D32" si="2">D31</f>
        <v>0</v>
      </c>
      <c r="E32" s="295"/>
      <c r="F32" s="338"/>
      <c r="G32" s="338"/>
      <c r="H32" s="338"/>
      <c r="I32" s="338"/>
      <c r="J32" s="339" t="str">
        <f>IF(ValbyACO_ICC3[[#This Row],[2021 Member Months]]=0,"NA",(SUMPRODUCT(J22:J30,D22:D30)-ABS(SUMIF(RxRebates21[[#All],[Insurance Category Code]],$E$20,RxRebates21[[#All],[Retail Pharmacy Rebates]])))/ValbyACO_ICC3[[#This Row],[2021 Member Months]])</f>
        <v>NA</v>
      </c>
      <c r="K32" s="338"/>
      <c r="L32" s="338"/>
      <c r="M32" s="260" t="str">
        <f>IF(ValbyACO_ICC3[[#This Row],[2021 Member Months]]=0,"NA",(SUMPRODUCT(M22:M30,D22:D30)-ABS(SUMIF(RxRebates21[[#All],[Insurance Category Code]],$E$20,RxRebates21[[#All],[Total Pharmacy Rebates]])))/ValbyACO_ICC3[[#This Row],[2021 Member Months]])</f>
        <v>NA</v>
      </c>
      <c r="N32" s="260" t="str">
        <f>IF(ValbyACO_ICC3[[#This Row],[2021 Member Months]]=0,"NA",(SUMPRODUCT(N22:N30,D22:D30)-ABS(SUMIF(RxRebates21[[#All],[Insurance Category Code]],$E$20,RxRebates21[[#All],[Total Pharmacy Rebates]])))/ValbyACO_ICC3[[#This Row],[2021 Member Months]])</f>
        <v>NA</v>
      </c>
      <c r="O32" s="260" t="str">
        <f>IF(ValbyACO_ICC3[[#This Row],[2021 Member Months]]=0,"NA",(SUMPRODUCT(O22:O30,D22:D30)-ABS(SUMIF(RxRebates21[[#All],[Insurance Category Code]],$E$20,RxRebates21[[#All],[Total Pharmacy Rebates]])))/ValbyACO_ICC3[[#This Row],[2021 Member Months]])</f>
        <v>NA</v>
      </c>
      <c r="P32" s="260" t="str">
        <f>IF(ValbyACO_ICC3[[#This Row],[2021 Member Months]]=0,"NA",(SUMPRODUCT(P22:P30,D22:D30)-ABS(SUMIF(RxRebates21[[#All],[Insurance Category Code]],$E$20,RxRebates21[[#All],[Total Pharmacy Rebates]])))/ValbyACO_ICC3[[#This Row],[2021 Member Months]])</f>
        <v>NA</v>
      </c>
      <c r="Q32" s="125" t="str">
        <f>IF(ValbyACO_ICC3[[#This Row],[2021 Member Months]]=0,"NA",(SUMPRODUCT(Q22:Q30,D22:D30)-ABS(SUMIF(RxRebates21[[#All],[Insurance Category Code]],$E$20,RxRebates21[[#All],[Total Pharmacy Rebates]])))/ValbyACO_ICC3[[#This Row],[2021 Member Months]])</f>
        <v>NA</v>
      </c>
      <c r="R32" s="257">
        <f t="shared" ref="R32" si="3">R31</f>
        <v>0</v>
      </c>
      <c r="S32" s="334"/>
      <c r="T32" s="296"/>
      <c r="U32" s="296"/>
      <c r="V32" s="296"/>
      <c r="W32" s="296"/>
      <c r="X32" s="259" t="str">
        <f>IF(R32=0,"NA",(SUMPRODUCT(X22:X30,R22:R30)-ABS(SUMIF(RxRebates22[[#All],[Insurance Category Code]],$E$20,RxRebates22[[#All],[Retail Pharmacy Rebates]])))/R32)</f>
        <v>NA</v>
      </c>
      <c r="Y32" s="296"/>
      <c r="Z32" s="296"/>
      <c r="AA32" s="260" t="str">
        <f>IF(ValbyACO_ICC3[[#This Row],[2022 Member Months]]=0,"NA",(SUMPRODUCT(AA22:AA30,R22:R30)-ABS(SUMIF(RxRebates22[[#All],[Insurance Category Code]],$E$20,RxRebates22[[#All],[Total Pharmacy Rebates]])))/ValbyACO_ICC3[[#This Row],[2022 Member Months]])</f>
        <v>NA</v>
      </c>
      <c r="AB32" s="260" t="str">
        <f>IF(ValbyACO_ICC3[[#This Row],[2022 Member Months]]=0,"NA",(SUMPRODUCT(AB22:AB30,R22:R30)-ABS(SUMIF(RxRebates22[[#All],[Insurance Category Code]],$E$20,RxRebates22[[#All],[Total Pharmacy Rebates]])))/ValbyACO_ICC3[[#This Row],[2022 Member Months]])</f>
        <v>NA</v>
      </c>
      <c r="AC32" s="260" t="str">
        <f>IF(ValbyACO_ICC3[[#This Row],[2022 Member Months]]=0,"NA",(SUMPRODUCT(AC22:AC30,R22:R30)-ABS(SUMIF(RxRebates22[[#All],[Insurance Category Code]],$E$20,RxRebates22[[#All],[Total Pharmacy Rebates]])))/ValbyACO_ICC3[[#This Row],[2022 Member Months]])</f>
        <v>NA</v>
      </c>
      <c r="AD32" s="260" t="str">
        <f>IF(ValbyACO_ICC3[[#This Row],[2022 Member Months]]=0,"NA",(SUMPRODUCT(AD22:AD30,R22:R30)-ABS(SUMIF(RxRebates22[[#All],[Insurance Category Code]],$E$20,RxRebates22[[#All],[Total Pharmacy Rebates]])))/ValbyACO_ICC3[[#This Row],[2022 Member Months]])</f>
        <v>NA</v>
      </c>
      <c r="AE32" s="261" t="str">
        <f>IF(ValbyACO_ICC3[[#This Row],[2022 Member Months]]=0,"NA",(SUMPRODUCT(AE22:AE30,R22:R30)-ABS(SUMIF(RxRebates22[[#All],[Insurance Category Code]],$E$20,RxRebates22[[#All],[Total Pharmacy Rebates]])))/ValbyACO_ICC3[[#This Row],[2022 Member Months]])</f>
        <v>NA</v>
      </c>
      <c r="AF32" s="262" t="str">
        <f>IFERROR(IF(ValbyACO_ICC3[[#This Row],[2021 Member Months]]=0,"NA",ValbyACO_ICC3[[#This Row],[2022 Member Months]]/ValbyACO_ICC3[[#This Row],[2021 Member Months]]-1),"NA")</f>
        <v>NA</v>
      </c>
      <c r="AG32" s="335"/>
      <c r="AH32" s="336"/>
      <c r="AI32" s="336"/>
      <c r="AJ32" s="336"/>
      <c r="AK32" s="336"/>
      <c r="AL32" s="162" t="str">
        <f>IFERROR(IF(ValbyACO_ICC3[[#This Row],[2021 Member Months]]=0,"NA",ValbyACO_ICC3[[#This Row],[2022 Claims: Pharmacy (Gross of Retail Pharmacy Rebates)]]/ValbyACO_ICC3[[#This Row],[2021 Claims: Pharmacy (Gross of  Rebates)]]-1),"NA")</f>
        <v>NA</v>
      </c>
      <c r="AM32" s="336"/>
      <c r="AN32" s="336"/>
      <c r="AO32" s="163" t="str">
        <f>IFERROR(IF(ValbyACO_ICC3[[#This Row],[2021 Member Months]]=0,"NA",ValbyACO_ICC3[[#This Row],[2022 TOTAL Non-Truncated Claims Expenses]]/ValbyACO_ICC3[[#This Row],[2021 TOTAL Non-Truncated Claims Expenses]]-1),"NA")</f>
        <v>NA</v>
      </c>
      <c r="AP32" s="163" t="str">
        <f>IFERROR(IF(ValbyACO_ICC3[[#This Row],[2021 Member Months]]=0,"NA",ValbyACO_ICC3[[#This Row],[2022 TOTAL Truncated Claims Expenses]]/ValbyACO_ICC3[[#This Row],[2021 TOTAL Truncated Claims Expenses]]-1),"NA")</f>
        <v>NA</v>
      </c>
      <c r="AQ32" s="163" t="str">
        <f>IFERROR(IF(ValbyACO_ICC3[[#This Row],[2021 Member Months]]=0,"NA",ValbyACO_ICC3[[#This Row],[2022 TOTAL Non-Claims Expenses]]/ValbyACO_ICC3[[#This Row],[2021 TOTAL Non-Claims Expenses]]-1),"NA")</f>
        <v>NA</v>
      </c>
      <c r="AR32" s="163" t="str">
        <f>IFERROR(IF(ValbyACO_ICC3[[#This Row],[2021 Member Months]]=0,"NA",ValbyACO_ICC3[[#This Row],[2022 TOTAL Non-Truncated Total Expenses]]/ValbyACO_ICC3[[#This Row],[2021 TOTAL Non-Truncated Total Expenses]]-1),"NA")</f>
        <v>NA</v>
      </c>
      <c r="AS32" s="163" t="str">
        <f>IFERROR(IF(ValbyACO_ICC3[[#This Row],[2021 Member Months]]=0,"NA",ValbyACO_ICC3[[#This Row],[2022 TOTAL Truncated Total Expenses]]/ValbyACO_ICC3[[#This Row],[2021 TOTAL Truncated Total Expenses]]-1),"NA")</f>
        <v>NA</v>
      </c>
    </row>
    <row r="34" spans="1:45" ht="16" thickBot="1" x14ac:dyDescent="0.4">
      <c r="B34" s="42" t="s">
        <v>150</v>
      </c>
      <c r="C34" s="42"/>
      <c r="E34" s="15">
        <v>4</v>
      </c>
      <c r="F34"/>
    </row>
    <row r="35" spans="1:45" ht="43.5" x14ac:dyDescent="0.35">
      <c r="B35" s="275" t="s">
        <v>159</v>
      </c>
      <c r="C35" s="133" t="s">
        <v>542</v>
      </c>
      <c r="D35" s="316" t="s">
        <v>544</v>
      </c>
      <c r="E35" s="271" t="s">
        <v>545</v>
      </c>
      <c r="F35" s="271" t="s">
        <v>546</v>
      </c>
      <c r="G35" s="271" t="s">
        <v>547</v>
      </c>
      <c r="H35" s="271" t="s">
        <v>548</v>
      </c>
      <c r="I35" s="271" t="s">
        <v>549</v>
      </c>
      <c r="J35" s="271" t="s">
        <v>665</v>
      </c>
      <c r="K35" s="271" t="s">
        <v>550</v>
      </c>
      <c r="L35" s="271" t="s">
        <v>551</v>
      </c>
      <c r="M35" s="271" t="s">
        <v>552</v>
      </c>
      <c r="N35" s="271" t="s">
        <v>553</v>
      </c>
      <c r="O35" s="271" t="s">
        <v>554</v>
      </c>
      <c r="P35" s="271" t="s">
        <v>555</v>
      </c>
      <c r="Q35" s="317" t="s">
        <v>556</v>
      </c>
      <c r="R35" s="275" t="s">
        <v>662</v>
      </c>
      <c r="S35" s="318" t="s">
        <v>649</v>
      </c>
      <c r="T35" s="318" t="s">
        <v>650</v>
      </c>
      <c r="U35" s="318" t="s">
        <v>651</v>
      </c>
      <c r="V35" s="318" t="s">
        <v>652</v>
      </c>
      <c r="W35" s="318" t="s">
        <v>653</v>
      </c>
      <c r="X35" s="318" t="s">
        <v>654</v>
      </c>
      <c r="Y35" s="318" t="s">
        <v>655</v>
      </c>
      <c r="Z35" s="318" t="s">
        <v>656</v>
      </c>
      <c r="AA35" s="318" t="s">
        <v>657</v>
      </c>
      <c r="AB35" s="318" t="s">
        <v>658</v>
      </c>
      <c r="AC35" s="318" t="s">
        <v>659</v>
      </c>
      <c r="AD35" s="318" t="s">
        <v>660</v>
      </c>
      <c r="AE35" s="318" t="s">
        <v>661</v>
      </c>
      <c r="AF35" s="389" t="s">
        <v>557</v>
      </c>
      <c r="AG35" s="389" t="s">
        <v>558</v>
      </c>
      <c r="AH35" s="389" t="s">
        <v>559</v>
      </c>
      <c r="AI35" s="389" t="s">
        <v>560</v>
      </c>
      <c r="AJ35" s="389" t="s">
        <v>561</v>
      </c>
      <c r="AK35" s="389" t="s">
        <v>562</v>
      </c>
      <c r="AL35" s="389" t="s">
        <v>563</v>
      </c>
      <c r="AM35" s="389" t="s">
        <v>564</v>
      </c>
      <c r="AN35" s="389" t="s">
        <v>565</v>
      </c>
      <c r="AO35" s="389" t="s">
        <v>566</v>
      </c>
      <c r="AP35" s="389" t="s">
        <v>567</v>
      </c>
      <c r="AQ35" s="389" t="s">
        <v>568</v>
      </c>
      <c r="AR35" s="389" t="s">
        <v>569</v>
      </c>
      <c r="AS35" s="389" t="s">
        <v>570</v>
      </c>
    </row>
    <row r="36" spans="1:45" x14ac:dyDescent="0.35">
      <c r="A36" s="129"/>
      <c r="B36" s="250">
        <v>101</v>
      </c>
      <c r="C36" s="131" t="s">
        <v>167</v>
      </c>
      <c r="D36" s="272">
        <f>SUMIFS(ACOAETME2021[[#All],[Member Months]], ACOAETME2021[[#All],[Insurance Category Code]], $E$34, ACOAETME2021[[#All],[ACO/AE or Insurer Overall Organization ID]], ValbyACO_ICC4[[#This Row],[Org ID]])</f>
        <v>0</v>
      </c>
      <c r="E36" s="268" t="str">
        <f>IFERROR(IF(ValbyACO_ICC4[[#This Row],[2021 Member Months]]=0,"NA",SUMIFS(ACOAETME2021[[#All],[Claims: Hospital Inpatient]], ACOAETME2021[[#All],[Insurance Category Code]], $E$34, ACOAETME2021[[#All],[ACO/AE or Insurer Overall Organization ID]], ValbyACO_ICC4[[#This Row],[Org ID]])/ValbyACO_ICC4[[#This Row],[2021 Member Months]]), "NA")</f>
        <v>NA</v>
      </c>
      <c r="F36" s="418" t="str">
        <f>IFERROR(IF(ValbyACO_ICC4[[#This Row],[2021 Member Months]]=0,"NA",SUMIFS(ACOAETME2021[[#All],[Claims: Hospital Outpatient]], ACOAETME2021[[#All],[Insurance Category Code]], $E$34, ACOAETME2021[[#All],[ACO/AE or Insurer Overall Organization ID]], ValbyACO_ICC4[[#This Row],[Org ID]])/ValbyACO_ICC4[[#This Row],[2021 Member Months]]), "NA")</f>
        <v>NA</v>
      </c>
      <c r="G36" s="268" t="str">
        <f>IFERROR(IF(ValbyACO_ICC4[[#This Row],[2021 Member Months]]=0,"NA",SUMIFS(ACOAETME2021[[#All],[Claims: Professional, Primary Care]], ACOAETME2021[[#All],[Insurance Category Code]], $E$34, ACOAETME2021[[#All],[ACO/AE or Insurer Overall Organization ID]], ValbyACO_ICC4[[#This Row],[Org ID]])/ValbyACO_ICC4[[#This Row],[2021 Member Months]]), "NA")</f>
        <v>NA</v>
      </c>
      <c r="H36" s="268" t="str">
        <f>IFERROR(IF(ValbyACO_ICC4[[#This Row],[2021 Member Months]]=0,"NA",SUMIFS(ACOAETME2021[[#All],[Claims: Professional, Specialty Care]], ACOAETME2021[[#All],[Insurance Category Code]], $E$34, ACOAETME2021[[#All],[ACO/AE or Insurer Overall Organization ID]], ValbyACO_ICC4[[#This Row],[Org ID]])/ValbyACO_ICC4[[#This Row],[2021 Member Months]]), "NA")</f>
        <v>NA</v>
      </c>
      <c r="I36" s="268" t="str">
        <f>IFERROR(IF(ValbyACO_ICC4[[#This Row],[2021 Member Months]]=0,"NA",SUMIFS(ACOAETME2021[[#All],[Claims: Professional Other]], ACOAETME2021[[#All],[Insurance Category Code]], $E$34, ACOAETME2021[[#All],[ACO/AE or Insurer Overall Organization ID]], ValbyACO_ICC4[[#This Row],[Org ID]])/ValbyACO_ICC4[[#This Row],[2021 Member Months]]), "NA")</f>
        <v>NA</v>
      </c>
      <c r="J36" s="268" t="str">
        <f>IFERROR(IF(ValbyACO_ICC4[[#This Row],[2021 Member Months]]=0,"NA",SUMIFS(ACOAETME2021[[#All],[Claims: Pharmacy]], ACOAETME2021[[#All],[Insurance Category Code]], $E$34, ACOAETME2021[[#All],[ACO/AE or Insurer Overall Organization ID]], ValbyACO_ICC4[[#This Row],[Org ID]])/ValbyACO_ICC4[[#This Row],[2021 Member Months]]), "NA")</f>
        <v>NA</v>
      </c>
      <c r="K36" s="268" t="str">
        <f>IFERROR(IF(ValbyACO_ICC4[[#This Row],[2021 Member Months]]=0,"NA",SUMIFS(ACOAETME2021[[#All],[Claims: Long-Term Care]], ACOAETME2021[[#All],[Insurance Category Code]], $E$34, ACOAETME2021[[#All],[ACO/AE or Insurer Overall Organization ID]], ValbyACO_ICC4[[#This Row],[Org ID]])/ValbyACO_ICC4[[#This Row],[2021 Member Months]]), "NA")</f>
        <v>NA</v>
      </c>
      <c r="L36" s="268" t="str">
        <f>IFERROR(IF(ValbyACO_ICC4[[#This Row],[2021 Member Months]]=0,"NA",SUMIFS(ACOAETME2021[[#All],[Claims: Other]], ACOAETME2021[[#All],[Insurance Category Code]], $E$34, ACOAETME2021[[#All],[ACO/AE or Insurer Overall Organization ID]], ValbyACO_ICC4[[#This Row],[Org ID]])/ValbyACO_ICC4[[#This Row],[2021 Member Months]]), "NA")</f>
        <v>NA</v>
      </c>
      <c r="M36" s="118" t="str">
        <f>IF(ValbyACO_ICC4[[#This Row],[2021 Member Months]]=0,"NA",SUMIFS(ACOAETME2021[[#All],[TOTAL Non-Truncated Unadjusted Claims Expenses]], ACOAETME2021[[#All],[Insurance Category Code]], $E$34, ACOAETME2021[[#All],[ACO/AE or Insurer Overall Organization ID]], ValbyACO_ICC4[[#This Row],[Org ID]])/ValbyACO_ICC4[[#This Row],[2021 Member Months]])</f>
        <v>NA</v>
      </c>
      <c r="N36" s="118" t="str">
        <f>IF(ValbyACO_ICC4[[#This Row],[2021 Member Months]]=0,"NA",SUMIFS(ACOAETME2021[[#All],[TOTAL Truncated Unadjusted Claims Expenses (A19 - A17)]], ACOAETME2021[[#All],[Insurance Category Code]], $E$34, ACOAETME2021[[#All],[ACO/AE or Insurer Overall Organization ID]], ValbyACO_ICC4[[#This Row],[Org ID]])/ValbyACO_ICC4[[#This Row],[2021 Member Months]])</f>
        <v>NA</v>
      </c>
      <c r="O36" s="118" t="str">
        <f>IF(ValbyACO_ICC4[[#This Row],[2021 Member Months]]=0,"NA",SUMIFS(ACOAETME2021[[#All],[TOTAL Non-Claims Expenses]], ACOAETME2021[[#All],[Insurance Category Code]], $E$34, ACOAETME2021[[#All],[ACO/AE or Insurer Overall Organization ID]], ValbyACO_ICC4[[#This Row],[Org ID]])/ValbyACO_ICC4[[#This Row],[2021 Member Months]])</f>
        <v>NA</v>
      </c>
      <c r="P36" s="268" t="str">
        <f>IF(ValbyACO_ICC4[[#This Row],[2021 Member Months]]=0, "NA", SUMIFS(ACOAETME2021[[#All],[TOTAL Non-Truncated Unadjusted Expenses 
(A19+A21)]], ACOAETME2021[[#All],[Insurance Category Code]], $E$34, ACOAETME2021[[#All],[ACO/AE or Insurer Overall Organization ID]], ValbyACO_ICC4[[#This Row],[Org ID]])/ValbyACO_ICC4[[#This Row],[2021 Member Months]])</f>
        <v>NA</v>
      </c>
      <c r="Q36" s="119" t="str">
        <f>IF(ValbyACO_ICC4[[#This Row],[2021 Member Months]]=0, "NA", SUMIFS(ACOAETME2021[[#All],[TOTAL Truncated Unadjusted Expenses (A20+A21)]], ACOAETME2021[[#All],[Insurance Category Code]], $E$34, ACOAETME2021[[#All],[ACO/AE or Insurer Overall Organization ID]], ValbyACO_ICC4[[#This Row],[Org ID]])/ValbyACO_ICC4[[#This Row],[2021 Member Months]])</f>
        <v>NA</v>
      </c>
      <c r="R36" s="192">
        <f>SUMIFS(ACOAETME2022[[#All],[Member Months]],ACOAETME2022[[#All],[Insurance Category Code]],$E$34,ACOAETME2022[[#All],[ACO/AE or Insurer Overall Organization ID]],ValbyACO_ICC4[[#This Row],[Org ID]])</f>
        <v>0</v>
      </c>
      <c r="S36" s="118" t="str">
        <f>IF(ValbyACO_ICC4[[#This Row],[2022 Member Months]]=0,"NA",SUMIFS(ACOAETME2022[[#All],[Claims: Hospital Inpatient]],ACOAETME2022[[#All],[Insurance Category Code]],$E$34,ACOAETME2022[[#All],[ACO/AE or Insurer Overall Organization ID]],ValbyACO_ICC4[[#This Row],[Org ID]])/ValbyACO_ICC4[[#This Row],[2022 Member Months]])</f>
        <v>NA</v>
      </c>
      <c r="T36" s="118" t="str">
        <f>IF(ValbyACO_ICC4[[#This Row],[2022 Member Months]]=0,"NA",SUMIFS(ACOAETME2022[[#All],[Claims: Hospital Outpatient]],ACOAETME2022[[#All],[Insurance Category Code]],$E$34,ACOAETME2022[[#All],[ACO/AE or Insurer Overall Organization ID]],ValbyACO_ICC4[[#This Row],[Org ID]])/ValbyACO_ICC4[[#This Row],[2022 Member Months]])</f>
        <v>NA</v>
      </c>
      <c r="U36" s="118" t="str">
        <f>IF(ValbyACO_ICC4[[#This Row],[2022 Member Months]]=0,"NA",SUMIFS(ACOAETME2022[[#All],[Claims: Professional, Primary Care]],ACOAETME2022[[#All],[Insurance Category Code]],$E$34,ACOAETME2022[[#All],[ACO/AE or Insurer Overall Organization ID]],ValbyACO_ICC4[[#This Row],[Org ID]])/ValbyACO_ICC4[[#This Row],[2022 Member Months]])</f>
        <v>NA</v>
      </c>
      <c r="V36" s="118" t="str">
        <f>IF(ValbyACO_ICC4[[#This Row],[2022 Member Months]]=0,"NA",SUMIFS(ACOAETME2022[[#All],[Claims: Professional, Specialty Care]],ACOAETME2022[[#All],[Insurance Category Code]], $E$34,ACOAETME2022[[#All],[ACO/AE or Insurer Overall Organization ID]],ValbyACO_ICC4[[#This Row],[Org ID]])/ValbyACO_ICC4[[#This Row],[2022 Member Months]])</f>
        <v>NA</v>
      </c>
      <c r="W36" s="118" t="str">
        <f>IF(ValbyACO_ICC4[[#This Row],[2022 Member Months]]=0,"NA",SUMIFS(ACOAETME2022[[#All],[Claims: Professional Other]],ACOAETME2022[[#All],[Insurance Category Code]], $E$34,ACOAETME2022[[#All],[ACO/AE or Insurer Overall Organization ID]],ValbyACO_ICC4[[#This Row],[Org ID]])/ValbyACO_ICC4[[#This Row],[2022 Member Months]])</f>
        <v>NA</v>
      </c>
      <c r="X36" s="118" t="str">
        <f>IF(ValbyACO_ICC4[[#This Row],[2022 Member Months]]=0,"NA",SUMIFS(ACOAETME2022[[#All],[Claims: Pharmacy]],ACOAETME2022[[#All],[Insurance Category Code]], $E$34,ACOAETME2022[[#All],[ACO/AE or Insurer Overall Organization ID]],ValbyACO_ICC4[[#This Row],[Org ID]])/ValbyACO_ICC4[[#This Row],[2022 Member Months]])</f>
        <v>NA</v>
      </c>
      <c r="Y36" s="118" t="str">
        <f>IF(ValbyACO_ICC4[[#This Row],[2022 Member Months]]=0,"NA",SUMIFS(ACOAETME2022[[#All],[Claims: Long-Term Care]],ACOAETME2022[[#All],[Insurance Category Code]], $E$34,ACOAETME2022[[#All],[ACO/AE or Insurer Overall Organization ID]],ValbyACO_ICC4[[#This Row],[Org ID]])/ValbyACO_ICC4[[#This Row],[2022 Member Months]])</f>
        <v>NA</v>
      </c>
      <c r="Z36" s="118" t="str">
        <f>IF(ValbyACO_ICC4[[#This Row],[2022 Member Months]]=0,"NA",SUMIFS(ACOAETME2022[[#All],[Claims: Other]],ACOAETME2022[[#All],[Insurance Category Code]], $E$34,ACOAETME2022[[#All],[ACO/AE or Insurer Overall Organization ID]],ValbyACO_ICC4[[#This Row],[Org ID]])/ValbyACO_ICC4[[#This Row],[2022 Member Months]])</f>
        <v>NA</v>
      </c>
      <c r="AA36" s="118" t="str">
        <f>IF(ValbyACO_ICC4[[#This Row],[2022 Member Months]]=0,"NA",SUMIFS(ACOAETME2022[[#All],[TOTAL Non-Truncated Unadjusted Claims Expenses]],ACOAETME2022[[#All],[Insurance Category Code]], $E$34,ACOAETME2022[[#All],[ACO/AE or Insurer Overall Organization ID]],ValbyACO_ICC4[[#This Row],[Org ID]])/ValbyACO_ICC4[[#This Row],[2022 Member Months]])</f>
        <v>NA</v>
      </c>
      <c r="AB36" s="118" t="str">
        <f>IF(ValbyACO_ICC4[[#This Row],[2022 Member Months]]=0,"NA",SUMIFS(ACOAETME2022[[#All],[TOTAL Truncated Unadjusted Expenses (A20+A21)]],ACOAETME2022[[#All],[Insurance Category Code]], $E$34,ACOAETME2022[[#All],[ACO/AE or Insurer Overall Organization ID]],ValbyACO_ICC4[[#This Row],[Org ID]])/ValbyACO_ICC4[[#This Row],[2022 Member Months]])</f>
        <v>NA</v>
      </c>
      <c r="AC36" s="118" t="str">
        <f>IF(ValbyACO_ICC4[[#This Row],[2022 Member Months]]=0,"NA",SUMIFS(ACOAETME2022[[#All],[TOTAL Non-Claims Expenses]],ACOAETME2022[[#All],[Insurance Category Code]], $E$34,ACOAETME2022[[#All],[ACO/AE or Insurer Overall Organization ID]],ValbyACO_ICC4[[#This Row],[Org ID]])/ValbyACO_ICC4[[#This Row],[2022 Member Months]])</f>
        <v>NA</v>
      </c>
      <c r="AD36" s="268" t="str">
        <f>IF(ValbyACO_ICC4[[#This Row],[2022 Member Months]]=0,"NA",SUMIFS(ACOAETME2022[[#All],[TOTAL Non-Truncated Unadjusted Expenses 
(A19+A21)]],ACOAETME2022[[#All],[Insurance Category Code]], $E$34,ACOAETME2022[[#All],[ACO/AE or Insurer Overall Organization ID]],ValbyACO_ICC4[[#This Row],[Org ID]])/ValbyACO_ICC4[[#This Row],[2022 Member Months]])</f>
        <v>NA</v>
      </c>
      <c r="AE36" s="119" t="str">
        <f>IF(ValbyACO_ICC4[[#This Row],[2022 Member Months]]=0,"NA",SUMIFS(ACOAETME2022[[#All],[TOTAL Truncated Unadjusted Expenses (A20+A21)]],ACOAETME2022[[#All],[Insurance Category Code]],$E$34,ACOAETME2022[[#All],[ACO/AE or Insurer Overall Organization ID]],ValbyACO_ICC4[[#This Row],[Org ID]])/ValbyACO_ICC4[[#This Row],[2022 Member Months]])</f>
        <v>NA</v>
      </c>
      <c r="AF36" s="160" t="str">
        <f>IFERROR(IF(ValbyACO_ICC4[[#This Row],[2021 Member Months]]=0,"NA",ValbyACO_ICC4[[#This Row],[2022 Member Months]]/ValbyACO_ICC4[[#This Row],[2021 Member Months]]-1),"NA")</f>
        <v>NA</v>
      </c>
      <c r="AG36" s="161" t="str">
        <f>IFERROR(IF(ValbyACO_ICC4[[#This Row],[2021 Member Months]]=0,"NA",ValbyACO_ICC4[[#This Row],[2022 Claims: Hospital Inpatient]]/ValbyACO_ICC4[[#This Row],[2021 Claims: Hospital Inpatient]]-1),"NA")</f>
        <v>NA</v>
      </c>
      <c r="AH36" s="162" t="str">
        <f>IFERROR(IF(ValbyACO_ICC4[[#This Row],[2021 Member Months]]=0,"NA",ValbyACO_ICC4[[#This Row],[2022 Claims: Hospital Outpatient]]/ValbyACO_ICC4[[#This Row],[2021 Claims: Hospital Outpatient]]-1),"NA")</f>
        <v>NA</v>
      </c>
      <c r="AI36" s="162" t="str">
        <f>IFERROR(IF(ValbyACO_ICC4[[#This Row],[2021 Member Months]]=0,"NA",ValbyACO_ICC4[[#This Row],[2022 Claims: Professional, Primary Care]]/ValbyACO_ICC4[[#This Row],[2021 Claims: Professional, Primary Care]]-1),"NA")</f>
        <v>NA</v>
      </c>
      <c r="AJ36" s="162" t="str">
        <f>IFERROR(IF(ValbyACO_ICC4[[#This Row],[2021 Member Months]]=0,"NA",ValbyACO_ICC4[[#This Row],[2022 Claims: Professional, Specialty Care]]/ValbyACO_ICC4[[#This Row],[2021 Claims: Professional, Specialty Care]]-1),"NA")</f>
        <v>NA</v>
      </c>
      <c r="AK36" s="162" t="str">
        <f>IFERROR(IF(ValbyACO_ICC4[[#This Row],[2021 Member Months]]=0,"NA", ValbyACO_ICC4[[#This Row],[2022 Claims: Professional Other]]/ValbyACO_ICC4[[#This Row],[2021 Claims: Professional Other]]-1),"NA")</f>
        <v>NA</v>
      </c>
      <c r="AL36" s="162" t="str">
        <f>IFERROR(IF(ValbyACO_ICC4[[#This Row],[2021 Member Months]]=0,"NA",ValbyACO_ICC4[[#This Row],[2022 Claims: Pharmacy (Gross of Retail Pharmacy Rebates)]]/ValbyACO_ICC4[[#This Row],[2021 Claims: Pharmacy (Gross of  Rebates)]]-1),"NA")</f>
        <v>NA</v>
      </c>
      <c r="AM36" s="162" t="str">
        <f>IFERROR(IF(ValbyACO_ICC4[[#This Row],[2021 Member Months]]=0,"NA",ValbyACO_ICC4[[#This Row],[2022 Claims: Long-term Care]]/ValbyACO_ICC4[[#This Row],[2021 Claims: Long-term Care]]-1),"NA")</f>
        <v>NA</v>
      </c>
      <c r="AN36" s="162" t="str">
        <f>IFERROR(IF(ValbyACO_ICC4[[#This Row],[2021 Member Months]]=0,"NA",ValbyACO_ICC4[[#This Row],[2022 Claims: Other]]/ValbyACO_ICC4[[#This Row],[2021 Claims: Other]]-1),"NA")</f>
        <v>NA</v>
      </c>
      <c r="AO36" s="163" t="str">
        <f>IFERROR(IF(ValbyACO_ICC4[[#This Row],[2021 Member Months]]=0,"NA",ValbyACO_ICC4[[#This Row],[2022 TOTAL Non-Truncated Claims Expenses]]/ValbyACO_ICC4[[#This Row],[2021 TOTAL Non-Truncated Claims Expenses]]-1),"NA")</f>
        <v>NA</v>
      </c>
      <c r="AP36" s="163" t="str">
        <f>IFERROR(IF(ValbyACO_ICC4[[#This Row],[2021 Member Months]]=0,"NA",ValbyACO_ICC4[[#This Row],[2022 TOTAL Truncated Claims Expenses]]/ValbyACO_ICC4[[#This Row],[2021 TOTAL Truncated Claims Expenses]]-1),"NA")</f>
        <v>NA</v>
      </c>
      <c r="AQ36" s="163" t="str">
        <f>IFERROR(IF(ValbyACO_ICC4[[#This Row],[2021 Member Months]]=0,"NA",ValbyACO_ICC4[[#This Row],[2022 TOTAL Non-Claims Expenses]]/ValbyACO_ICC4[[#This Row],[2021 TOTAL Non-Claims Expenses]]-1),"NA")</f>
        <v>NA</v>
      </c>
      <c r="AR36" s="163" t="str">
        <f>IFERROR(IF(ValbyACO_ICC4[[#This Row],[2021 Member Months]]=0,"NA",ValbyACO_ICC4[[#This Row],[2022 TOTAL Non-Truncated Total Expenses]]/ValbyACO_ICC4[[#This Row],[2021 TOTAL Non-Truncated Total Expenses]]-1),"NA")</f>
        <v>NA</v>
      </c>
      <c r="AS36" s="164" t="str">
        <f>IFERROR(IF(ValbyACO_ICC4[[#This Row],[2021 Member Months]]=0,"NA",ValbyACO_ICC4[[#This Row],[2022 TOTAL Truncated Total Expenses]]/ValbyACO_ICC4[[#This Row],[2021 TOTAL Truncated Total Expenses]]-1),"NA")</f>
        <v>NA</v>
      </c>
    </row>
    <row r="37" spans="1:45" x14ac:dyDescent="0.35">
      <c r="A37" s="129"/>
      <c r="B37" s="250">
        <v>102</v>
      </c>
      <c r="C37" s="131" t="s">
        <v>190</v>
      </c>
      <c r="D37" s="272">
        <f>SUMIFS(ACOAETME2021[[#All],[Member Months]], ACOAETME2021[[#All],[Insurance Category Code]], $E$34, ACOAETME2021[[#All],[ACO/AE or Insurer Overall Organization ID]], ValbyACO_ICC4[[#This Row],[Org ID]])</f>
        <v>0</v>
      </c>
      <c r="E37" s="268" t="str">
        <f>IFERROR(IF(ValbyACO_ICC4[[#This Row],[2021 Member Months]]=0,"NA",SUMIFS(ACOAETME2021[[#All],[Claims: Hospital Inpatient]], ACOAETME2021[[#All],[Insurance Category Code]], $E$34, ACOAETME2021[[#All],[ACO/AE or Insurer Overall Organization ID]], ValbyACO_ICC4[[#This Row],[Org ID]])/ValbyACO_ICC4[[#This Row],[2021 Member Months]]), "NA")</f>
        <v>NA</v>
      </c>
      <c r="F37" s="418" t="str">
        <f>IFERROR(IF(ValbyACO_ICC4[[#This Row],[2021 Member Months]]=0,"NA",SUMIFS(ACOAETME2021[[#All],[Claims: Hospital Outpatient]], ACOAETME2021[[#All],[Insurance Category Code]], $E$34, ACOAETME2021[[#All],[ACO/AE or Insurer Overall Organization ID]], ValbyACO_ICC4[[#This Row],[Org ID]])/ValbyACO_ICC4[[#This Row],[2021 Member Months]]), "NA")</f>
        <v>NA</v>
      </c>
      <c r="G37" s="268" t="str">
        <f>IFERROR(IF(ValbyACO_ICC4[[#This Row],[2021 Member Months]]=0,"NA",SUMIFS(ACOAETME2021[[#All],[Claims: Professional, Primary Care]], ACOAETME2021[[#All],[Insurance Category Code]], $E$34, ACOAETME2021[[#All],[ACO/AE or Insurer Overall Organization ID]], ValbyACO_ICC4[[#This Row],[Org ID]])/ValbyACO_ICC4[[#This Row],[2021 Member Months]]), "NA")</f>
        <v>NA</v>
      </c>
      <c r="H37" s="268" t="str">
        <f>IFERROR(IF(ValbyACO_ICC4[[#This Row],[2021 Member Months]]=0,"NA",SUMIFS(ACOAETME2021[[#All],[Claims: Professional, Specialty Care]], ACOAETME2021[[#All],[Insurance Category Code]], $E$34, ACOAETME2021[[#All],[ACO/AE or Insurer Overall Organization ID]], ValbyACO_ICC4[[#This Row],[Org ID]])/ValbyACO_ICC4[[#This Row],[2021 Member Months]]), "NA")</f>
        <v>NA</v>
      </c>
      <c r="I37" s="268" t="str">
        <f>IFERROR(IF(ValbyACO_ICC4[[#This Row],[2021 Member Months]]=0,"NA",SUMIFS(ACOAETME2021[[#All],[Claims: Professional Other]], ACOAETME2021[[#All],[Insurance Category Code]], $E$34, ACOAETME2021[[#All],[ACO/AE or Insurer Overall Organization ID]], ValbyACO_ICC4[[#This Row],[Org ID]])/ValbyACO_ICC4[[#This Row],[2021 Member Months]]), "NA")</f>
        <v>NA</v>
      </c>
      <c r="J37" s="268" t="str">
        <f>IFERROR(IF(ValbyACO_ICC4[[#This Row],[2021 Member Months]]=0,"NA",SUMIFS(ACOAETME2021[[#All],[Claims: Pharmacy]], ACOAETME2021[[#All],[Insurance Category Code]], $E$34, ACOAETME2021[[#All],[ACO/AE or Insurer Overall Organization ID]], ValbyACO_ICC4[[#This Row],[Org ID]])/ValbyACO_ICC4[[#This Row],[2021 Member Months]]), "NA")</f>
        <v>NA</v>
      </c>
      <c r="K37" s="268" t="str">
        <f>IFERROR(IF(ValbyACO_ICC4[[#This Row],[2021 Member Months]]=0,"NA",SUMIFS(ACOAETME2021[[#All],[Claims: Long-Term Care]], ACOAETME2021[[#All],[Insurance Category Code]], $E$34, ACOAETME2021[[#All],[ACO/AE or Insurer Overall Organization ID]], ValbyACO_ICC4[[#This Row],[Org ID]])/ValbyACO_ICC4[[#This Row],[2021 Member Months]]), "NA")</f>
        <v>NA</v>
      </c>
      <c r="L37" s="268" t="str">
        <f>IFERROR(IF(ValbyACO_ICC4[[#This Row],[2021 Member Months]]=0,"NA",SUMIFS(ACOAETME2021[[#All],[Claims: Other]], ACOAETME2021[[#All],[Insurance Category Code]], $E$34, ACOAETME2021[[#All],[ACO/AE or Insurer Overall Organization ID]], ValbyACO_ICC4[[#This Row],[Org ID]])/ValbyACO_ICC4[[#This Row],[2021 Member Months]]), "NA")</f>
        <v>NA</v>
      </c>
      <c r="M37" s="118" t="str">
        <f>IF(ValbyACO_ICC4[[#This Row],[2021 Member Months]]=0,"NA",SUMIFS(ACOAETME2021[[#All],[TOTAL Non-Truncated Unadjusted Claims Expenses]], ACOAETME2021[[#All],[Insurance Category Code]], $E$34, ACOAETME2021[[#All],[ACO/AE or Insurer Overall Organization ID]], ValbyACO_ICC4[[#This Row],[Org ID]])/ValbyACO_ICC4[[#This Row],[2021 Member Months]])</f>
        <v>NA</v>
      </c>
      <c r="N37" s="118" t="str">
        <f>IF(ValbyACO_ICC4[[#This Row],[2021 Member Months]]=0,"NA",SUMIFS(ACOAETME2021[[#All],[TOTAL Truncated Unadjusted Claims Expenses (A19 - A17)]], ACOAETME2021[[#All],[Insurance Category Code]], $E$34, ACOAETME2021[[#All],[ACO/AE or Insurer Overall Organization ID]], ValbyACO_ICC4[[#This Row],[Org ID]])/ValbyACO_ICC4[[#This Row],[2021 Member Months]])</f>
        <v>NA</v>
      </c>
      <c r="O37" s="118" t="str">
        <f>IF(ValbyACO_ICC4[[#This Row],[2021 Member Months]]=0,"NA",SUMIFS(ACOAETME2021[[#All],[TOTAL Non-Claims Expenses]], ACOAETME2021[[#All],[Insurance Category Code]], $E$34, ACOAETME2021[[#All],[ACO/AE or Insurer Overall Organization ID]], ValbyACO_ICC4[[#This Row],[Org ID]])/ValbyACO_ICC4[[#This Row],[2021 Member Months]])</f>
        <v>NA</v>
      </c>
      <c r="P37" s="268" t="str">
        <f>IF(ValbyACO_ICC4[[#This Row],[2021 Member Months]]=0, "NA", SUMIFS(ACOAETME2021[[#All],[TOTAL Non-Truncated Unadjusted Expenses 
(A19+A21)]], ACOAETME2021[[#All],[Insurance Category Code]], $E$34, ACOAETME2021[[#All],[ACO/AE or Insurer Overall Organization ID]], ValbyACO_ICC4[[#This Row],[Org ID]])/ValbyACO_ICC4[[#This Row],[2021 Member Months]])</f>
        <v>NA</v>
      </c>
      <c r="Q37" s="119" t="str">
        <f>IF(ValbyACO_ICC4[[#This Row],[2021 Member Months]]=0, "NA", SUMIFS(ACOAETME2021[[#All],[TOTAL Truncated Unadjusted Expenses (A20+A21)]], ACOAETME2021[[#All],[Insurance Category Code]], $E$34, ACOAETME2021[[#All],[ACO/AE or Insurer Overall Organization ID]], ValbyACO_ICC4[[#This Row],[Org ID]])/ValbyACO_ICC4[[#This Row],[2021 Member Months]])</f>
        <v>NA</v>
      </c>
      <c r="R37" s="192">
        <f>SUMIFS(ACOAETME2022[[#All],[Member Months]],ACOAETME2022[[#All],[Insurance Category Code]],$E$34,ACOAETME2022[[#All],[ACO/AE or Insurer Overall Organization ID]],ValbyACO_ICC4[[#This Row],[Org ID]])</f>
        <v>0</v>
      </c>
      <c r="S37" s="118" t="str">
        <f>IF(ValbyACO_ICC4[[#This Row],[2022 Member Months]]=0,"NA",SUMIFS(ACOAETME2022[[#All],[Claims: Hospital Inpatient]],ACOAETME2022[[#All],[Insurance Category Code]],$E$34,ACOAETME2022[[#All],[ACO/AE or Insurer Overall Organization ID]],ValbyACO_ICC4[[#This Row],[Org ID]])/ValbyACO_ICC4[[#This Row],[2022 Member Months]])</f>
        <v>NA</v>
      </c>
      <c r="T37" s="118" t="str">
        <f>IF(ValbyACO_ICC4[[#This Row],[2022 Member Months]]=0,"NA",SUMIFS(ACOAETME2022[[#All],[Claims: Hospital Outpatient]],ACOAETME2022[[#All],[Insurance Category Code]],$E$34,ACOAETME2022[[#All],[ACO/AE or Insurer Overall Organization ID]],ValbyACO_ICC4[[#This Row],[Org ID]])/ValbyACO_ICC4[[#This Row],[2022 Member Months]])</f>
        <v>NA</v>
      </c>
      <c r="U37" s="118" t="str">
        <f>IF(ValbyACO_ICC4[[#This Row],[2022 Member Months]]=0,"NA",SUMIFS(ACOAETME2022[[#All],[Claims: Professional, Primary Care]],ACOAETME2022[[#All],[Insurance Category Code]],$E$34,ACOAETME2022[[#All],[ACO/AE or Insurer Overall Organization ID]],ValbyACO_ICC4[[#This Row],[Org ID]])/ValbyACO_ICC4[[#This Row],[2022 Member Months]])</f>
        <v>NA</v>
      </c>
      <c r="V37" s="118" t="str">
        <f>IF(ValbyACO_ICC4[[#This Row],[2022 Member Months]]=0,"NA",SUMIFS(ACOAETME2022[[#All],[Claims: Professional, Specialty Care]],ACOAETME2022[[#All],[Insurance Category Code]], $E$34,ACOAETME2022[[#All],[ACO/AE or Insurer Overall Organization ID]],ValbyACO_ICC4[[#This Row],[Org ID]])/ValbyACO_ICC4[[#This Row],[2022 Member Months]])</f>
        <v>NA</v>
      </c>
      <c r="W37" s="118" t="str">
        <f>IF(ValbyACO_ICC4[[#This Row],[2022 Member Months]]=0,"NA",SUMIFS(ACOAETME2022[[#All],[Claims: Professional Other]],ACOAETME2022[[#All],[Insurance Category Code]], $E$34,ACOAETME2022[[#All],[ACO/AE or Insurer Overall Organization ID]],ValbyACO_ICC4[[#This Row],[Org ID]])/ValbyACO_ICC4[[#This Row],[2022 Member Months]])</f>
        <v>NA</v>
      </c>
      <c r="X37" s="118" t="str">
        <f>IF(ValbyACO_ICC4[[#This Row],[2022 Member Months]]=0,"NA",SUMIFS(ACOAETME2022[[#All],[Claims: Pharmacy]],ACOAETME2022[[#All],[Insurance Category Code]], $E$34,ACOAETME2022[[#All],[ACO/AE or Insurer Overall Organization ID]],ValbyACO_ICC4[[#This Row],[Org ID]])/ValbyACO_ICC4[[#This Row],[2022 Member Months]])</f>
        <v>NA</v>
      </c>
      <c r="Y37" s="118" t="str">
        <f>IF(ValbyACO_ICC4[[#This Row],[2022 Member Months]]=0,"NA",SUMIFS(ACOAETME2022[[#All],[Claims: Long-Term Care]],ACOAETME2022[[#All],[Insurance Category Code]], $E$34,ACOAETME2022[[#All],[ACO/AE or Insurer Overall Organization ID]],ValbyACO_ICC4[[#This Row],[Org ID]])/ValbyACO_ICC4[[#This Row],[2022 Member Months]])</f>
        <v>NA</v>
      </c>
      <c r="Z37" s="118" t="str">
        <f>IF(ValbyACO_ICC4[[#This Row],[2022 Member Months]]=0,"NA",SUMIFS(ACOAETME2022[[#All],[Claims: Other]],ACOAETME2022[[#All],[Insurance Category Code]], $E$34,ACOAETME2022[[#All],[ACO/AE or Insurer Overall Organization ID]],ValbyACO_ICC4[[#This Row],[Org ID]])/ValbyACO_ICC4[[#This Row],[2022 Member Months]])</f>
        <v>NA</v>
      </c>
      <c r="AA37" s="118" t="str">
        <f>IF(ValbyACO_ICC4[[#This Row],[2022 Member Months]]=0,"NA",SUMIFS(ACOAETME2022[[#All],[TOTAL Non-Truncated Unadjusted Claims Expenses]],ACOAETME2022[[#All],[Insurance Category Code]], $E$34,ACOAETME2022[[#All],[ACO/AE or Insurer Overall Organization ID]],ValbyACO_ICC4[[#This Row],[Org ID]])/ValbyACO_ICC4[[#This Row],[2022 Member Months]])</f>
        <v>NA</v>
      </c>
      <c r="AB37" s="118" t="str">
        <f>IF(ValbyACO_ICC4[[#This Row],[2022 Member Months]]=0,"NA",SUMIFS(ACOAETME2022[[#All],[TOTAL Truncated Unadjusted Expenses (A20+A21)]],ACOAETME2022[[#All],[Insurance Category Code]], $E$34,ACOAETME2022[[#All],[ACO/AE or Insurer Overall Organization ID]],ValbyACO_ICC4[[#This Row],[Org ID]])/ValbyACO_ICC4[[#This Row],[2022 Member Months]])</f>
        <v>NA</v>
      </c>
      <c r="AC37" s="118" t="str">
        <f>IF(ValbyACO_ICC4[[#This Row],[2022 Member Months]]=0,"NA",SUMIFS(ACOAETME2022[[#All],[TOTAL Non-Claims Expenses]],ACOAETME2022[[#All],[Insurance Category Code]], $E$34,ACOAETME2022[[#All],[ACO/AE or Insurer Overall Organization ID]],ValbyACO_ICC4[[#This Row],[Org ID]])/ValbyACO_ICC4[[#This Row],[2022 Member Months]])</f>
        <v>NA</v>
      </c>
      <c r="AD37" s="268" t="str">
        <f>IF(ValbyACO_ICC4[[#This Row],[2022 Member Months]]=0,"NA",SUMIFS(ACOAETME2022[[#All],[TOTAL Non-Truncated Unadjusted Expenses 
(A19+A21)]],ACOAETME2022[[#All],[Insurance Category Code]], $E$34,ACOAETME2022[[#All],[ACO/AE or Insurer Overall Organization ID]],ValbyACO_ICC4[[#This Row],[Org ID]])/ValbyACO_ICC4[[#This Row],[2022 Member Months]])</f>
        <v>NA</v>
      </c>
      <c r="AE37" s="119" t="str">
        <f>IF(ValbyACO_ICC4[[#This Row],[2022 Member Months]]=0,"NA",SUMIFS(ACOAETME2022[[#All],[TOTAL Truncated Unadjusted Expenses (A20+A21)]],ACOAETME2022[[#All],[Insurance Category Code]],$E$34,ACOAETME2022[[#All],[ACO/AE or Insurer Overall Organization ID]],ValbyACO_ICC4[[#This Row],[Org ID]])/ValbyACO_ICC4[[#This Row],[2022 Member Months]])</f>
        <v>NA</v>
      </c>
      <c r="AF37" s="160" t="str">
        <f>IFERROR(IF(ValbyACO_ICC4[[#This Row],[2021 Member Months]]=0,"NA",ValbyACO_ICC4[[#This Row],[2022 Member Months]]/ValbyACO_ICC4[[#This Row],[2021 Member Months]]-1),"NA")</f>
        <v>NA</v>
      </c>
      <c r="AG37" s="161" t="str">
        <f>IFERROR(IF(ValbyACO_ICC4[[#This Row],[2021 Member Months]]=0,"NA",ValbyACO_ICC4[[#This Row],[2022 Claims: Hospital Inpatient]]/ValbyACO_ICC4[[#This Row],[2021 Claims: Hospital Inpatient]]-1),"NA")</f>
        <v>NA</v>
      </c>
      <c r="AH37" s="162" t="str">
        <f>IFERROR(IF(ValbyACO_ICC4[[#This Row],[2021 Member Months]]=0,"NA",ValbyACO_ICC4[[#This Row],[2022 Claims: Hospital Outpatient]]/ValbyACO_ICC4[[#This Row],[2021 Claims: Hospital Outpatient]]-1),"NA")</f>
        <v>NA</v>
      </c>
      <c r="AI37" s="162" t="str">
        <f>IFERROR(IF(ValbyACO_ICC4[[#This Row],[2021 Member Months]]=0,"NA",ValbyACO_ICC4[[#This Row],[2022 Claims: Professional, Primary Care]]/ValbyACO_ICC4[[#This Row],[2021 Claims: Professional, Primary Care]]-1),"NA")</f>
        <v>NA</v>
      </c>
      <c r="AJ37" s="162" t="str">
        <f>IFERROR(IF(ValbyACO_ICC4[[#This Row],[2021 Member Months]]=0,"NA",ValbyACO_ICC4[[#This Row],[2022 Claims: Professional, Specialty Care]]/ValbyACO_ICC4[[#This Row],[2021 Claims: Professional, Specialty Care]]-1),"NA")</f>
        <v>NA</v>
      </c>
      <c r="AK37" s="162" t="str">
        <f>IFERROR(IF(ValbyACO_ICC4[[#This Row],[2021 Member Months]]=0,"NA", ValbyACO_ICC4[[#This Row],[2022 Claims: Professional Other]]/ValbyACO_ICC4[[#This Row],[2021 Claims: Professional Other]]-1),"NA")</f>
        <v>NA</v>
      </c>
      <c r="AL37" s="162" t="str">
        <f>IFERROR(IF(ValbyACO_ICC4[[#This Row],[2021 Member Months]]=0,"NA",ValbyACO_ICC4[[#This Row],[2022 Claims: Pharmacy (Gross of Retail Pharmacy Rebates)]]/ValbyACO_ICC4[[#This Row],[2021 Claims: Pharmacy (Gross of  Rebates)]]-1),"NA")</f>
        <v>NA</v>
      </c>
      <c r="AM37" s="162" t="str">
        <f>IFERROR(IF(ValbyACO_ICC4[[#This Row],[2021 Member Months]]=0,"NA",ValbyACO_ICC4[[#This Row],[2022 Claims: Long-term Care]]/ValbyACO_ICC4[[#This Row],[2021 Claims: Long-term Care]]-1),"NA")</f>
        <v>NA</v>
      </c>
      <c r="AN37" s="162" t="str">
        <f>IFERROR(IF(ValbyACO_ICC4[[#This Row],[2021 Member Months]]=0,"NA",ValbyACO_ICC4[[#This Row],[2022 Claims: Other]]/ValbyACO_ICC4[[#This Row],[2021 Claims: Other]]-1),"NA")</f>
        <v>NA</v>
      </c>
      <c r="AO37" s="163" t="str">
        <f>IFERROR(IF(ValbyACO_ICC4[[#This Row],[2021 Member Months]]=0,"NA",ValbyACO_ICC4[[#This Row],[2022 TOTAL Non-Truncated Claims Expenses]]/ValbyACO_ICC4[[#This Row],[2021 TOTAL Non-Truncated Claims Expenses]]-1),"NA")</f>
        <v>NA</v>
      </c>
      <c r="AP37" s="163" t="str">
        <f>IFERROR(IF(ValbyACO_ICC4[[#This Row],[2021 Member Months]]=0,"NA",ValbyACO_ICC4[[#This Row],[2022 TOTAL Truncated Claims Expenses]]/ValbyACO_ICC4[[#This Row],[2021 TOTAL Truncated Claims Expenses]]-1),"NA")</f>
        <v>NA</v>
      </c>
      <c r="AQ37" s="163" t="str">
        <f>IFERROR(IF(ValbyACO_ICC4[[#This Row],[2021 Member Months]]=0,"NA",ValbyACO_ICC4[[#This Row],[2022 TOTAL Non-Claims Expenses]]/ValbyACO_ICC4[[#This Row],[2021 TOTAL Non-Claims Expenses]]-1),"NA")</f>
        <v>NA</v>
      </c>
      <c r="AR37" s="163" t="str">
        <f>IFERROR(IF(ValbyACO_ICC4[[#This Row],[2021 Member Months]]=0,"NA",ValbyACO_ICC4[[#This Row],[2022 TOTAL Non-Truncated Total Expenses]]/ValbyACO_ICC4[[#This Row],[2021 TOTAL Non-Truncated Total Expenses]]-1),"NA")</f>
        <v>NA</v>
      </c>
      <c r="AS37" s="164" t="str">
        <f>IFERROR(IF(ValbyACO_ICC4[[#This Row],[2021 Member Months]]=0,"NA",ValbyACO_ICC4[[#This Row],[2022 TOTAL Truncated Total Expenses]]/ValbyACO_ICC4[[#This Row],[2021 TOTAL Truncated Total Expenses]]-1),"NA")</f>
        <v>NA</v>
      </c>
    </row>
    <row r="38" spans="1:45" x14ac:dyDescent="0.35">
      <c r="A38" s="129"/>
      <c r="B38" s="250">
        <v>103</v>
      </c>
      <c r="C38" s="131" t="s">
        <v>168</v>
      </c>
      <c r="D38" s="272">
        <f>SUMIFS(ACOAETME2021[[#All],[Member Months]], ACOAETME2021[[#All],[Insurance Category Code]], $E$34, ACOAETME2021[[#All],[ACO/AE or Insurer Overall Organization ID]], ValbyACO_ICC4[[#This Row],[Org ID]])</f>
        <v>0</v>
      </c>
      <c r="E38" s="268" t="str">
        <f>IFERROR(IF(ValbyACO_ICC4[[#This Row],[2021 Member Months]]=0,"NA",SUMIFS(ACOAETME2021[[#All],[Claims: Hospital Inpatient]], ACOAETME2021[[#All],[Insurance Category Code]], $E$34, ACOAETME2021[[#All],[ACO/AE or Insurer Overall Organization ID]], ValbyACO_ICC4[[#This Row],[Org ID]])/ValbyACO_ICC4[[#This Row],[2021 Member Months]]), "NA")</f>
        <v>NA</v>
      </c>
      <c r="F38" s="418" t="str">
        <f>IFERROR(IF(ValbyACO_ICC4[[#This Row],[2021 Member Months]]=0,"NA",SUMIFS(ACOAETME2021[[#All],[Claims: Hospital Outpatient]], ACOAETME2021[[#All],[Insurance Category Code]], $E$34, ACOAETME2021[[#All],[ACO/AE or Insurer Overall Organization ID]], ValbyACO_ICC4[[#This Row],[Org ID]])/ValbyACO_ICC4[[#This Row],[2021 Member Months]]), "NA")</f>
        <v>NA</v>
      </c>
      <c r="G38" s="268" t="str">
        <f>IFERROR(IF(ValbyACO_ICC4[[#This Row],[2021 Member Months]]=0,"NA",SUMIFS(ACOAETME2021[[#All],[Claims: Professional, Primary Care]], ACOAETME2021[[#All],[Insurance Category Code]], $E$34, ACOAETME2021[[#All],[ACO/AE or Insurer Overall Organization ID]], ValbyACO_ICC4[[#This Row],[Org ID]])/ValbyACO_ICC4[[#This Row],[2021 Member Months]]), "NA")</f>
        <v>NA</v>
      </c>
      <c r="H38" s="268" t="str">
        <f>IFERROR(IF(ValbyACO_ICC4[[#This Row],[2021 Member Months]]=0,"NA",SUMIFS(ACOAETME2021[[#All],[Claims: Professional, Specialty Care]], ACOAETME2021[[#All],[Insurance Category Code]], $E$34, ACOAETME2021[[#All],[ACO/AE or Insurer Overall Organization ID]], ValbyACO_ICC4[[#This Row],[Org ID]])/ValbyACO_ICC4[[#This Row],[2021 Member Months]]), "NA")</f>
        <v>NA</v>
      </c>
      <c r="I38" s="268" t="str">
        <f>IFERROR(IF(ValbyACO_ICC4[[#This Row],[2021 Member Months]]=0,"NA",SUMIFS(ACOAETME2021[[#All],[Claims: Professional Other]], ACOAETME2021[[#All],[Insurance Category Code]], $E$34, ACOAETME2021[[#All],[ACO/AE or Insurer Overall Organization ID]], ValbyACO_ICC4[[#This Row],[Org ID]])/ValbyACO_ICC4[[#This Row],[2021 Member Months]]), "NA")</f>
        <v>NA</v>
      </c>
      <c r="J38" s="268" t="str">
        <f>IFERROR(IF(ValbyACO_ICC4[[#This Row],[2021 Member Months]]=0,"NA",SUMIFS(ACOAETME2021[[#All],[Claims: Pharmacy]], ACOAETME2021[[#All],[Insurance Category Code]], $E$34, ACOAETME2021[[#All],[ACO/AE or Insurer Overall Organization ID]], ValbyACO_ICC4[[#This Row],[Org ID]])/ValbyACO_ICC4[[#This Row],[2021 Member Months]]), "NA")</f>
        <v>NA</v>
      </c>
      <c r="K38" s="268" t="str">
        <f>IFERROR(IF(ValbyACO_ICC4[[#This Row],[2021 Member Months]]=0,"NA",SUMIFS(ACOAETME2021[[#All],[Claims: Long-Term Care]], ACOAETME2021[[#All],[Insurance Category Code]], $E$34, ACOAETME2021[[#All],[ACO/AE or Insurer Overall Organization ID]], ValbyACO_ICC4[[#This Row],[Org ID]])/ValbyACO_ICC4[[#This Row],[2021 Member Months]]), "NA")</f>
        <v>NA</v>
      </c>
      <c r="L38" s="268" t="str">
        <f>IFERROR(IF(ValbyACO_ICC4[[#This Row],[2021 Member Months]]=0,"NA",SUMIFS(ACOAETME2021[[#All],[Claims: Other]], ACOAETME2021[[#All],[Insurance Category Code]], $E$34, ACOAETME2021[[#All],[ACO/AE or Insurer Overall Organization ID]], ValbyACO_ICC4[[#This Row],[Org ID]])/ValbyACO_ICC4[[#This Row],[2021 Member Months]]), "NA")</f>
        <v>NA</v>
      </c>
      <c r="M38" s="118" t="str">
        <f>IF(ValbyACO_ICC4[[#This Row],[2021 Member Months]]=0,"NA",SUMIFS(ACOAETME2021[[#All],[TOTAL Non-Truncated Unadjusted Claims Expenses]], ACOAETME2021[[#All],[Insurance Category Code]], $E$34, ACOAETME2021[[#All],[ACO/AE or Insurer Overall Organization ID]], ValbyACO_ICC4[[#This Row],[Org ID]])/ValbyACO_ICC4[[#This Row],[2021 Member Months]])</f>
        <v>NA</v>
      </c>
      <c r="N38" s="118" t="str">
        <f>IF(ValbyACO_ICC4[[#This Row],[2021 Member Months]]=0,"NA",SUMIFS(ACOAETME2021[[#All],[TOTAL Truncated Unadjusted Claims Expenses (A19 - A17)]], ACOAETME2021[[#All],[Insurance Category Code]], $E$34, ACOAETME2021[[#All],[ACO/AE or Insurer Overall Organization ID]], ValbyACO_ICC4[[#This Row],[Org ID]])/ValbyACO_ICC4[[#This Row],[2021 Member Months]])</f>
        <v>NA</v>
      </c>
      <c r="O38" s="118" t="str">
        <f>IF(ValbyACO_ICC4[[#This Row],[2021 Member Months]]=0,"NA",SUMIFS(ACOAETME2021[[#All],[TOTAL Non-Claims Expenses]], ACOAETME2021[[#All],[Insurance Category Code]], $E$34, ACOAETME2021[[#All],[ACO/AE or Insurer Overall Organization ID]], ValbyACO_ICC4[[#This Row],[Org ID]])/ValbyACO_ICC4[[#This Row],[2021 Member Months]])</f>
        <v>NA</v>
      </c>
      <c r="P38" s="268" t="str">
        <f>IF(ValbyACO_ICC4[[#This Row],[2021 Member Months]]=0, "NA", SUMIFS(ACOAETME2021[[#All],[TOTAL Non-Truncated Unadjusted Expenses 
(A19+A21)]], ACOAETME2021[[#All],[Insurance Category Code]], $E$34, ACOAETME2021[[#All],[ACO/AE or Insurer Overall Organization ID]], ValbyACO_ICC4[[#This Row],[Org ID]])/ValbyACO_ICC4[[#This Row],[2021 Member Months]])</f>
        <v>NA</v>
      </c>
      <c r="Q38" s="119" t="str">
        <f>IF(ValbyACO_ICC4[[#This Row],[2021 Member Months]]=0, "NA", SUMIFS(ACOAETME2021[[#All],[TOTAL Truncated Unadjusted Expenses (A20+A21)]], ACOAETME2021[[#All],[Insurance Category Code]], $E$34, ACOAETME2021[[#All],[ACO/AE or Insurer Overall Organization ID]], ValbyACO_ICC4[[#This Row],[Org ID]])/ValbyACO_ICC4[[#This Row],[2021 Member Months]])</f>
        <v>NA</v>
      </c>
      <c r="R38" s="192">
        <f>SUMIFS(ACOAETME2022[[#All],[Member Months]],ACOAETME2022[[#All],[Insurance Category Code]],$E$34,ACOAETME2022[[#All],[ACO/AE or Insurer Overall Organization ID]],ValbyACO_ICC4[[#This Row],[Org ID]])</f>
        <v>0</v>
      </c>
      <c r="S38" s="118" t="str">
        <f>IF(ValbyACO_ICC4[[#This Row],[2022 Member Months]]=0,"NA",SUMIFS(ACOAETME2022[[#All],[Claims: Hospital Inpatient]],ACOAETME2022[[#All],[Insurance Category Code]],$E$34,ACOAETME2022[[#All],[ACO/AE or Insurer Overall Organization ID]],ValbyACO_ICC4[[#This Row],[Org ID]])/ValbyACO_ICC4[[#This Row],[2022 Member Months]])</f>
        <v>NA</v>
      </c>
      <c r="T38" s="118" t="str">
        <f>IF(ValbyACO_ICC4[[#This Row],[2022 Member Months]]=0,"NA",SUMIFS(ACOAETME2022[[#All],[Claims: Hospital Outpatient]],ACOAETME2022[[#All],[Insurance Category Code]],$E$34,ACOAETME2022[[#All],[ACO/AE or Insurer Overall Organization ID]],ValbyACO_ICC4[[#This Row],[Org ID]])/ValbyACO_ICC4[[#This Row],[2022 Member Months]])</f>
        <v>NA</v>
      </c>
      <c r="U38" s="118" t="str">
        <f>IF(ValbyACO_ICC4[[#This Row],[2022 Member Months]]=0,"NA",SUMIFS(ACOAETME2022[[#All],[Claims: Professional, Primary Care]],ACOAETME2022[[#All],[Insurance Category Code]],$E$34,ACOAETME2022[[#All],[ACO/AE or Insurer Overall Organization ID]],ValbyACO_ICC4[[#This Row],[Org ID]])/ValbyACO_ICC4[[#This Row],[2022 Member Months]])</f>
        <v>NA</v>
      </c>
      <c r="V38" s="118" t="str">
        <f>IF(ValbyACO_ICC4[[#This Row],[2022 Member Months]]=0,"NA",SUMIFS(ACOAETME2022[[#All],[Claims: Professional, Specialty Care]],ACOAETME2022[[#All],[Insurance Category Code]], $E$34,ACOAETME2022[[#All],[ACO/AE or Insurer Overall Organization ID]],ValbyACO_ICC4[[#This Row],[Org ID]])/ValbyACO_ICC4[[#This Row],[2022 Member Months]])</f>
        <v>NA</v>
      </c>
      <c r="W38" s="118" t="str">
        <f>IF(ValbyACO_ICC4[[#This Row],[2022 Member Months]]=0,"NA",SUMIFS(ACOAETME2022[[#All],[Claims: Professional Other]],ACOAETME2022[[#All],[Insurance Category Code]], $E$34,ACOAETME2022[[#All],[ACO/AE or Insurer Overall Organization ID]],ValbyACO_ICC4[[#This Row],[Org ID]])/ValbyACO_ICC4[[#This Row],[2022 Member Months]])</f>
        <v>NA</v>
      </c>
      <c r="X38" s="118" t="str">
        <f>IF(ValbyACO_ICC4[[#This Row],[2022 Member Months]]=0,"NA",SUMIFS(ACOAETME2022[[#All],[Claims: Pharmacy]],ACOAETME2022[[#All],[Insurance Category Code]], $E$34,ACOAETME2022[[#All],[ACO/AE or Insurer Overall Organization ID]],ValbyACO_ICC4[[#This Row],[Org ID]])/ValbyACO_ICC4[[#This Row],[2022 Member Months]])</f>
        <v>NA</v>
      </c>
      <c r="Y38" s="118" t="str">
        <f>IF(ValbyACO_ICC4[[#This Row],[2022 Member Months]]=0,"NA",SUMIFS(ACOAETME2022[[#All],[Claims: Long-Term Care]],ACOAETME2022[[#All],[Insurance Category Code]], $E$34,ACOAETME2022[[#All],[ACO/AE or Insurer Overall Organization ID]],ValbyACO_ICC4[[#This Row],[Org ID]])/ValbyACO_ICC4[[#This Row],[2022 Member Months]])</f>
        <v>NA</v>
      </c>
      <c r="Z38" s="118" t="str">
        <f>IF(ValbyACO_ICC4[[#This Row],[2022 Member Months]]=0,"NA",SUMIFS(ACOAETME2022[[#All],[Claims: Other]],ACOAETME2022[[#All],[Insurance Category Code]], $E$34,ACOAETME2022[[#All],[ACO/AE or Insurer Overall Organization ID]],ValbyACO_ICC4[[#This Row],[Org ID]])/ValbyACO_ICC4[[#This Row],[2022 Member Months]])</f>
        <v>NA</v>
      </c>
      <c r="AA38" s="118" t="str">
        <f>IF(ValbyACO_ICC4[[#This Row],[2022 Member Months]]=0,"NA",SUMIFS(ACOAETME2022[[#All],[TOTAL Non-Truncated Unadjusted Claims Expenses]],ACOAETME2022[[#All],[Insurance Category Code]], $E$34,ACOAETME2022[[#All],[ACO/AE or Insurer Overall Organization ID]],ValbyACO_ICC4[[#This Row],[Org ID]])/ValbyACO_ICC4[[#This Row],[2022 Member Months]])</f>
        <v>NA</v>
      </c>
      <c r="AB38" s="118" t="str">
        <f>IF(ValbyACO_ICC4[[#This Row],[2022 Member Months]]=0,"NA",SUMIFS(ACOAETME2022[[#All],[TOTAL Truncated Unadjusted Expenses (A20+A21)]],ACOAETME2022[[#All],[Insurance Category Code]], $E$34,ACOAETME2022[[#All],[ACO/AE or Insurer Overall Organization ID]],ValbyACO_ICC4[[#This Row],[Org ID]])/ValbyACO_ICC4[[#This Row],[2022 Member Months]])</f>
        <v>NA</v>
      </c>
      <c r="AC38" s="118" t="str">
        <f>IF(ValbyACO_ICC4[[#This Row],[2022 Member Months]]=0,"NA",SUMIFS(ACOAETME2022[[#All],[TOTAL Non-Claims Expenses]],ACOAETME2022[[#All],[Insurance Category Code]], $E$34,ACOAETME2022[[#All],[ACO/AE or Insurer Overall Organization ID]],ValbyACO_ICC4[[#This Row],[Org ID]])/ValbyACO_ICC4[[#This Row],[2022 Member Months]])</f>
        <v>NA</v>
      </c>
      <c r="AD38" s="268" t="str">
        <f>IF(ValbyACO_ICC4[[#This Row],[2022 Member Months]]=0,"NA",SUMIFS(ACOAETME2022[[#All],[TOTAL Non-Truncated Unadjusted Expenses 
(A19+A21)]],ACOAETME2022[[#All],[Insurance Category Code]], $E$34,ACOAETME2022[[#All],[ACO/AE or Insurer Overall Organization ID]],ValbyACO_ICC4[[#This Row],[Org ID]])/ValbyACO_ICC4[[#This Row],[2022 Member Months]])</f>
        <v>NA</v>
      </c>
      <c r="AE38" s="119" t="str">
        <f>IF(ValbyACO_ICC4[[#This Row],[2022 Member Months]]=0,"NA",SUMIFS(ACOAETME2022[[#All],[TOTAL Truncated Unadjusted Expenses (A20+A21)]],ACOAETME2022[[#All],[Insurance Category Code]],$E$34,ACOAETME2022[[#All],[ACO/AE or Insurer Overall Organization ID]],ValbyACO_ICC4[[#This Row],[Org ID]])/ValbyACO_ICC4[[#This Row],[2022 Member Months]])</f>
        <v>NA</v>
      </c>
      <c r="AF38" s="160" t="str">
        <f>IFERROR(IF(ValbyACO_ICC4[[#This Row],[2021 Member Months]]=0,"NA",ValbyACO_ICC4[[#This Row],[2022 Member Months]]/ValbyACO_ICC4[[#This Row],[2021 Member Months]]-1),"NA")</f>
        <v>NA</v>
      </c>
      <c r="AG38" s="161" t="str">
        <f>IFERROR(IF(ValbyACO_ICC4[[#This Row],[2021 Member Months]]=0,"NA",ValbyACO_ICC4[[#This Row],[2022 Claims: Hospital Inpatient]]/ValbyACO_ICC4[[#This Row],[2021 Claims: Hospital Inpatient]]-1),"NA")</f>
        <v>NA</v>
      </c>
      <c r="AH38" s="162" t="str">
        <f>IFERROR(IF(ValbyACO_ICC4[[#This Row],[2021 Member Months]]=0,"NA",ValbyACO_ICC4[[#This Row],[2022 Claims: Hospital Outpatient]]/ValbyACO_ICC4[[#This Row],[2021 Claims: Hospital Outpatient]]-1),"NA")</f>
        <v>NA</v>
      </c>
      <c r="AI38" s="162" t="str">
        <f>IFERROR(IF(ValbyACO_ICC4[[#This Row],[2021 Member Months]]=0,"NA",ValbyACO_ICC4[[#This Row],[2022 Claims: Professional, Primary Care]]/ValbyACO_ICC4[[#This Row],[2021 Claims: Professional, Primary Care]]-1),"NA")</f>
        <v>NA</v>
      </c>
      <c r="AJ38" s="162" t="str">
        <f>IFERROR(IF(ValbyACO_ICC4[[#This Row],[2021 Member Months]]=0,"NA",ValbyACO_ICC4[[#This Row],[2022 Claims: Professional, Specialty Care]]/ValbyACO_ICC4[[#This Row],[2021 Claims: Professional, Specialty Care]]-1),"NA")</f>
        <v>NA</v>
      </c>
      <c r="AK38" s="162" t="str">
        <f>IFERROR(IF(ValbyACO_ICC4[[#This Row],[2021 Member Months]]=0,"NA", ValbyACO_ICC4[[#This Row],[2022 Claims: Professional Other]]/ValbyACO_ICC4[[#This Row],[2021 Claims: Professional Other]]-1),"NA")</f>
        <v>NA</v>
      </c>
      <c r="AL38" s="162" t="str">
        <f>IFERROR(IF(ValbyACO_ICC4[[#This Row],[2021 Member Months]]=0,"NA",ValbyACO_ICC4[[#This Row],[2022 Claims: Pharmacy (Gross of Retail Pharmacy Rebates)]]/ValbyACO_ICC4[[#This Row],[2021 Claims: Pharmacy (Gross of  Rebates)]]-1),"NA")</f>
        <v>NA</v>
      </c>
      <c r="AM38" s="162" t="str">
        <f>IFERROR(IF(ValbyACO_ICC4[[#This Row],[2021 Member Months]]=0,"NA",ValbyACO_ICC4[[#This Row],[2022 Claims: Long-term Care]]/ValbyACO_ICC4[[#This Row],[2021 Claims: Long-term Care]]-1),"NA")</f>
        <v>NA</v>
      </c>
      <c r="AN38" s="162" t="str">
        <f>IFERROR(IF(ValbyACO_ICC4[[#This Row],[2021 Member Months]]=0,"NA",ValbyACO_ICC4[[#This Row],[2022 Claims: Other]]/ValbyACO_ICC4[[#This Row],[2021 Claims: Other]]-1),"NA")</f>
        <v>NA</v>
      </c>
      <c r="AO38" s="163" t="str">
        <f>IFERROR(IF(ValbyACO_ICC4[[#This Row],[2021 Member Months]]=0,"NA",ValbyACO_ICC4[[#This Row],[2022 TOTAL Non-Truncated Claims Expenses]]/ValbyACO_ICC4[[#This Row],[2021 TOTAL Non-Truncated Claims Expenses]]-1),"NA")</f>
        <v>NA</v>
      </c>
      <c r="AP38" s="163" t="str">
        <f>IFERROR(IF(ValbyACO_ICC4[[#This Row],[2021 Member Months]]=0,"NA",ValbyACO_ICC4[[#This Row],[2022 TOTAL Truncated Claims Expenses]]/ValbyACO_ICC4[[#This Row],[2021 TOTAL Truncated Claims Expenses]]-1),"NA")</f>
        <v>NA</v>
      </c>
      <c r="AQ38" s="163" t="str">
        <f>IFERROR(IF(ValbyACO_ICC4[[#This Row],[2021 Member Months]]=0,"NA",ValbyACO_ICC4[[#This Row],[2022 TOTAL Non-Claims Expenses]]/ValbyACO_ICC4[[#This Row],[2021 TOTAL Non-Claims Expenses]]-1),"NA")</f>
        <v>NA</v>
      </c>
      <c r="AR38" s="163" t="str">
        <f>IFERROR(IF(ValbyACO_ICC4[[#This Row],[2021 Member Months]]=0,"NA",ValbyACO_ICC4[[#This Row],[2022 TOTAL Non-Truncated Total Expenses]]/ValbyACO_ICC4[[#This Row],[2021 TOTAL Non-Truncated Total Expenses]]-1),"NA")</f>
        <v>NA</v>
      </c>
      <c r="AS38" s="164" t="str">
        <f>IFERROR(IF(ValbyACO_ICC4[[#This Row],[2021 Member Months]]=0,"NA",ValbyACO_ICC4[[#This Row],[2022 TOTAL Truncated Total Expenses]]/ValbyACO_ICC4[[#This Row],[2021 TOTAL Truncated Total Expenses]]-1),"NA")</f>
        <v>NA</v>
      </c>
    </row>
    <row r="39" spans="1:45" x14ac:dyDescent="0.35">
      <c r="A39" s="129"/>
      <c r="B39" s="250">
        <v>104</v>
      </c>
      <c r="C39" s="131" t="s">
        <v>191</v>
      </c>
      <c r="D39" s="272">
        <f>SUMIFS(ACOAETME2021[[#All],[Member Months]], ACOAETME2021[[#All],[Insurance Category Code]], $E$34, ACOAETME2021[[#All],[ACO/AE or Insurer Overall Organization ID]], ValbyACO_ICC4[[#This Row],[Org ID]])</f>
        <v>0</v>
      </c>
      <c r="E39" s="268" t="str">
        <f>IFERROR(IF(ValbyACO_ICC4[[#This Row],[2021 Member Months]]=0,"NA",SUMIFS(ACOAETME2021[[#All],[Claims: Hospital Inpatient]], ACOAETME2021[[#All],[Insurance Category Code]], $E$34, ACOAETME2021[[#All],[ACO/AE or Insurer Overall Organization ID]], ValbyACO_ICC4[[#This Row],[Org ID]])/ValbyACO_ICC4[[#This Row],[2021 Member Months]]), "NA")</f>
        <v>NA</v>
      </c>
      <c r="F39" s="418" t="str">
        <f>IFERROR(IF(ValbyACO_ICC4[[#This Row],[2021 Member Months]]=0,"NA",SUMIFS(ACOAETME2021[[#All],[Claims: Hospital Outpatient]], ACOAETME2021[[#All],[Insurance Category Code]], $E$34, ACOAETME2021[[#All],[ACO/AE or Insurer Overall Organization ID]], ValbyACO_ICC4[[#This Row],[Org ID]])/ValbyACO_ICC4[[#This Row],[2021 Member Months]]), "NA")</f>
        <v>NA</v>
      </c>
      <c r="G39" s="268" t="str">
        <f>IFERROR(IF(ValbyACO_ICC4[[#This Row],[2021 Member Months]]=0,"NA",SUMIFS(ACOAETME2021[[#All],[Claims: Professional, Primary Care]], ACOAETME2021[[#All],[Insurance Category Code]], $E$34, ACOAETME2021[[#All],[ACO/AE or Insurer Overall Organization ID]], ValbyACO_ICC4[[#This Row],[Org ID]])/ValbyACO_ICC4[[#This Row],[2021 Member Months]]), "NA")</f>
        <v>NA</v>
      </c>
      <c r="H39" s="268" t="str">
        <f>IFERROR(IF(ValbyACO_ICC4[[#This Row],[2021 Member Months]]=0,"NA",SUMIFS(ACOAETME2021[[#All],[Claims: Professional, Specialty Care]], ACOAETME2021[[#All],[Insurance Category Code]], $E$34, ACOAETME2021[[#All],[ACO/AE or Insurer Overall Organization ID]], ValbyACO_ICC4[[#This Row],[Org ID]])/ValbyACO_ICC4[[#This Row],[2021 Member Months]]), "NA")</f>
        <v>NA</v>
      </c>
      <c r="I39" s="268" t="str">
        <f>IFERROR(IF(ValbyACO_ICC4[[#This Row],[2021 Member Months]]=0,"NA",SUMIFS(ACOAETME2021[[#All],[Claims: Professional Other]], ACOAETME2021[[#All],[Insurance Category Code]], $E$34, ACOAETME2021[[#All],[ACO/AE or Insurer Overall Organization ID]], ValbyACO_ICC4[[#This Row],[Org ID]])/ValbyACO_ICC4[[#This Row],[2021 Member Months]]), "NA")</f>
        <v>NA</v>
      </c>
      <c r="J39" s="268" t="str">
        <f>IFERROR(IF(ValbyACO_ICC4[[#This Row],[2021 Member Months]]=0,"NA",SUMIFS(ACOAETME2021[[#All],[Claims: Pharmacy]], ACOAETME2021[[#All],[Insurance Category Code]], $E$34, ACOAETME2021[[#All],[ACO/AE or Insurer Overall Organization ID]], ValbyACO_ICC4[[#This Row],[Org ID]])/ValbyACO_ICC4[[#This Row],[2021 Member Months]]), "NA")</f>
        <v>NA</v>
      </c>
      <c r="K39" s="268" t="str">
        <f>IFERROR(IF(ValbyACO_ICC4[[#This Row],[2021 Member Months]]=0,"NA",SUMIFS(ACOAETME2021[[#All],[Claims: Long-Term Care]], ACOAETME2021[[#All],[Insurance Category Code]], $E$34, ACOAETME2021[[#All],[ACO/AE or Insurer Overall Organization ID]], ValbyACO_ICC4[[#This Row],[Org ID]])/ValbyACO_ICC4[[#This Row],[2021 Member Months]]), "NA")</f>
        <v>NA</v>
      </c>
      <c r="L39" s="268" t="str">
        <f>IFERROR(IF(ValbyACO_ICC4[[#This Row],[2021 Member Months]]=0,"NA",SUMIFS(ACOAETME2021[[#All],[Claims: Other]], ACOAETME2021[[#All],[Insurance Category Code]], $E$34, ACOAETME2021[[#All],[ACO/AE or Insurer Overall Organization ID]], ValbyACO_ICC4[[#This Row],[Org ID]])/ValbyACO_ICC4[[#This Row],[2021 Member Months]]), "NA")</f>
        <v>NA</v>
      </c>
      <c r="M39" s="118" t="str">
        <f>IF(ValbyACO_ICC4[[#This Row],[2021 Member Months]]=0,"NA",SUMIFS(ACOAETME2021[[#All],[TOTAL Non-Truncated Unadjusted Claims Expenses]], ACOAETME2021[[#All],[Insurance Category Code]], $E$34, ACOAETME2021[[#All],[ACO/AE or Insurer Overall Organization ID]], ValbyACO_ICC4[[#This Row],[Org ID]])/ValbyACO_ICC4[[#This Row],[2021 Member Months]])</f>
        <v>NA</v>
      </c>
      <c r="N39" s="118" t="str">
        <f>IF(ValbyACO_ICC4[[#This Row],[2021 Member Months]]=0,"NA",SUMIFS(ACOAETME2021[[#All],[TOTAL Truncated Unadjusted Claims Expenses (A19 - A17)]], ACOAETME2021[[#All],[Insurance Category Code]], $E$34, ACOAETME2021[[#All],[ACO/AE or Insurer Overall Organization ID]], ValbyACO_ICC4[[#This Row],[Org ID]])/ValbyACO_ICC4[[#This Row],[2021 Member Months]])</f>
        <v>NA</v>
      </c>
      <c r="O39" s="118" t="str">
        <f>IF(ValbyACO_ICC4[[#This Row],[2021 Member Months]]=0,"NA",SUMIFS(ACOAETME2021[[#All],[TOTAL Non-Claims Expenses]], ACOAETME2021[[#All],[Insurance Category Code]], $E$34, ACOAETME2021[[#All],[ACO/AE or Insurer Overall Organization ID]], ValbyACO_ICC4[[#This Row],[Org ID]])/ValbyACO_ICC4[[#This Row],[2021 Member Months]])</f>
        <v>NA</v>
      </c>
      <c r="P39" s="268" t="str">
        <f>IF(ValbyACO_ICC4[[#This Row],[2021 Member Months]]=0, "NA", SUMIFS(ACOAETME2021[[#All],[TOTAL Non-Truncated Unadjusted Expenses 
(A19+A21)]], ACOAETME2021[[#All],[Insurance Category Code]], $E$34, ACOAETME2021[[#All],[ACO/AE or Insurer Overall Organization ID]], ValbyACO_ICC4[[#This Row],[Org ID]])/ValbyACO_ICC4[[#This Row],[2021 Member Months]])</f>
        <v>NA</v>
      </c>
      <c r="Q39" s="119" t="str">
        <f>IF(ValbyACO_ICC4[[#This Row],[2021 Member Months]]=0, "NA", SUMIFS(ACOAETME2021[[#All],[TOTAL Truncated Unadjusted Expenses (A20+A21)]], ACOAETME2021[[#All],[Insurance Category Code]], $E$34, ACOAETME2021[[#All],[ACO/AE or Insurer Overall Organization ID]], ValbyACO_ICC4[[#This Row],[Org ID]])/ValbyACO_ICC4[[#This Row],[2021 Member Months]])</f>
        <v>NA</v>
      </c>
      <c r="R39" s="192">
        <f>SUMIFS(ACOAETME2022[[#All],[Member Months]],ACOAETME2022[[#All],[Insurance Category Code]],$E$34,ACOAETME2022[[#All],[ACO/AE or Insurer Overall Organization ID]],ValbyACO_ICC4[[#This Row],[Org ID]])</f>
        <v>0</v>
      </c>
      <c r="S39" s="118" t="str">
        <f>IF(ValbyACO_ICC4[[#This Row],[2022 Member Months]]=0,"NA",SUMIFS(ACOAETME2022[[#All],[Claims: Hospital Inpatient]],ACOAETME2022[[#All],[Insurance Category Code]],$E$34,ACOAETME2022[[#All],[ACO/AE or Insurer Overall Organization ID]],ValbyACO_ICC4[[#This Row],[Org ID]])/ValbyACO_ICC4[[#This Row],[2022 Member Months]])</f>
        <v>NA</v>
      </c>
      <c r="T39" s="118" t="str">
        <f>IF(ValbyACO_ICC4[[#This Row],[2022 Member Months]]=0,"NA",SUMIFS(ACOAETME2022[[#All],[Claims: Hospital Outpatient]],ACOAETME2022[[#All],[Insurance Category Code]],$E$34,ACOAETME2022[[#All],[ACO/AE or Insurer Overall Organization ID]],ValbyACO_ICC4[[#This Row],[Org ID]])/ValbyACO_ICC4[[#This Row],[2022 Member Months]])</f>
        <v>NA</v>
      </c>
      <c r="U39" s="118" t="str">
        <f>IF(ValbyACO_ICC4[[#This Row],[2022 Member Months]]=0,"NA",SUMIFS(ACOAETME2022[[#All],[Claims: Professional, Primary Care]],ACOAETME2022[[#All],[Insurance Category Code]],$E$34,ACOAETME2022[[#All],[ACO/AE or Insurer Overall Organization ID]],ValbyACO_ICC4[[#This Row],[Org ID]])/ValbyACO_ICC4[[#This Row],[2022 Member Months]])</f>
        <v>NA</v>
      </c>
      <c r="V39" s="118" t="str">
        <f>IF(ValbyACO_ICC4[[#This Row],[2022 Member Months]]=0,"NA",SUMIFS(ACOAETME2022[[#All],[Claims: Professional, Specialty Care]],ACOAETME2022[[#All],[Insurance Category Code]], $E$34,ACOAETME2022[[#All],[ACO/AE or Insurer Overall Organization ID]],ValbyACO_ICC4[[#This Row],[Org ID]])/ValbyACO_ICC4[[#This Row],[2022 Member Months]])</f>
        <v>NA</v>
      </c>
      <c r="W39" s="118" t="str">
        <f>IF(ValbyACO_ICC4[[#This Row],[2022 Member Months]]=0,"NA",SUMIFS(ACOAETME2022[[#All],[Claims: Professional Other]],ACOAETME2022[[#All],[Insurance Category Code]], $E$34,ACOAETME2022[[#All],[ACO/AE or Insurer Overall Organization ID]],ValbyACO_ICC4[[#This Row],[Org ID]])/ValbyACO_ICC4[[#This Row],[2022 Member Months]])</f>
        <v>NA</v>
      </c>
      <c r="X39" s="118" t="str">
        <f>IF(ValbyACO_ICC4[[#This Row],[2022 Member Months]]=0,"NA",SUMIFS(ACOAETME2022[[#All],[Claims: Pharmacy]],ACOAETME2022[[#All],[Insurance Category Code]], $E$34,ACOAETME2022[[#All],[ACO/AE or Insurer Overall Organization ID]],ValbyACO_ICC4[[#This Row],[Org ID]])/ValbyACO_ICC4[[#This Row],[2022 Member Months]])</f>
        <v>NA</v>
      </c>
      <c r="Y39" s="118" t="str">
        <f>IF(ValbyACO_ICC4[[#This Row],[2022 Member Months]]=0,"NA",SUMIFS(ACOAETME2022[[#All],[Claims: Long-Term Care]],ACOAETME2022[[#All],[Insurance Category Code]], $E$34,ACOAETME2022[[#All],[ACO/AE or Insurer Overall Organization ID]],ValbyACO_ICC4[[#This Row],[Org ID]])/ValbyACO_ICC4[[#This Row],[2022 Member Months]])</f>
        <v>NA</v>
      </c>
      <c r="Z39" s="118" t="str">
        <f>IF(ValbyACO_ICC4[[#This Row],[2022 Member Months]]=0,"NA",SUMIFS(ACOAETME2022[[#All],[Claims: Other]],ACOAETME2022[[#All],[Insurance Category Code]], $E$34,ACOAETME2022[[#All],[ACO/AE or Insurer Overall Organization ID]],ValbyACO_ICC4[[#This Row],[Org ID]])/ValbyACO_ICC4[[#This Row],[2022 Member Months]])</f>
        <v>NA</v>
      </c>
      <c r="AA39" s="118" t="str">
        <f>IF(ValbyACO_ICC4[[#This Row],[2022 Member Months]]=0,"NA",SUMIFS(ACOAETME2022[[#All],[TOTAL Non-Truncated Unadjusted Claims Expenses]],ACOAETME2022[[#All],[Insurance Category Code]], $E$34,ACOAETME2022[[#All],[ACO/AE or Insurer Overall Organization ID]],ValbyACO_ICC4[[#This Row],[Org ID]])/ValbyACO_ICC4[[#This Row],[2022 Member Months]])</f>
        <v>NA</v>
      </c>
      <c r="AB39" s="118" t="str">
        <f>IF(ValbyACO_ICC4[[#This Row],[2022 Member Months]]=0,"NA",SUMIFS(ACOAETME2022[[#All],[TOTAL Truncated Unadjusted Expenses (A20+A21)]],ACOAETME2022[[#All],[Insurance Category Code]], $E$34,ACOAETME2022[[#All],[ACO/AE or Insurer Overall Organization ID]],ValbyACO_ICC4[[#This Row],[Org ID]])/ValbyACO_ICC4[[#This Row],[2022 Member Months]])</f>
        <v>NA</v>
      </c>
      <c r="AC39" s="118" t="str">
        <f>IF(ValbyACO_ICC4[[#This Row],[2022 Member Months]]=0,"NA",SUMIFS(ACOAETME2022[[#All],[TOTAL Non-Claims Expenses]],ACOAETME2022[[#All],[Insurance Category Code]], $E$34,ACOAETME2022[[#All],[ACO/AE or Insurer Overall Organization ID]],ValbyACO_ICC4[[#This Row],[Org ID]])/ValbyACO_ICC4[[#This Row],[2022 Member Months]])</f>
        <v>NA</v>
      </c>
      <c r="AD39" s="268" t="str">
        <f>IF(ValbyACO_ICC4[[#This Row],[2022 Member Months]]=0,"NA",SUMIFS(ACOAETME2022[[#All],[TOTAL Non-Truncated Unadjusted Expenses 
(A19+A21)]],ACOAETME2022[[#All],[Insurance Category Code]], $E$34,ACOAETME2022[[#All],[ACO/AE or Insurer Overall Organization ID]],ValbyACO_ICC4[[#This Row],[Org ID]])/ValbyACO_ICC4[[#This Row],[2022 Member Months]])</f>
        <v>NA</v>
      </c>
      <c r="AE39" s="119" t="str">
        <f>IF(ValbyACO_ICC4[[#This Row],[2022 Member Months]]=0,"NA",SUMIFS(ACOAETME2022[[#All],[TOTAL Truncated Unadjusted Expenses (A20+A21)]],ACOAETME2022[[#All],[Insurance Category Code]],$E$34,ACOAETME2022[[#All],[ACO/AE or Insurer Overall Organization ID]],ValbyACO_ICC4[[#This Row],[Org ID]])/ValbyACO_ICC4[[#This Row],[2022 Member Months]])</f>
        <v>NA</v>
      </c>
      <c r="AF39" s="160" t="str">
        <f>IFERROR(IF(ValbyACO_ICC4[[#This Row],[2021 Member Months]]=0,"NA",ValbyACO_ICC4[[#This Row],[2022 Member Months]]/ValbyACO_ICC4[[#This Row],[2021 Member Months]]-1),"NA")</f>
        <v>NA</v>
      </c>
      <c r="AG39" s="161" t="str">
        <f>IFERROR(IF(ValbyACO_ICC4[[#This Row],[2021 Member Months]]=0,"NA",ValbyACO_ICC4[[#This Row],[2022 Claims: Hospital Inpatient]]/ValbyACO_ICC4[[#This Row],[2021 Claims: Hospital Inpatient]]-1),"NA")</f>
        <v>NA</v>
      </c>
      <c r="AH39" s="162" t="str">
        <f>IFERROR(IF(ValbyACO_ICC4[[#This Row],[2021 Member Months]]=0,"NA",ValbyACO_ICC4[[#This Row],[2022 Claims: Hospital Outpatient]]/ValbyACO_ICC4[[#This Row],[2021 Claims: Hospital Outpatient]]-1),"NA")</f>
        <v>NA</v>
      </c>
      <c r="AI39" s="162" t="str">
        <f>IFERROR(IF(ValbyACO_ICC4[[#This Row],[2021 Member Months]]=0,"NA",ValbyACO_ICC4[[#This Row],[2022 Claims: Professional, Primary Care]]/ValbyACO_ICC4[[#This Row],[2021 Claims: Professional, Primary Care]]-1),"NA")</f>
        <v>NA</v>
      </c>
      <c r="AJ39" s="162" t="str">
        <f>IFERROR(IF(ValbyACO_ICC4[[#This Row],[2021 Member Months]]=0,"NA",ValbyACO_ICC4[[#This Row],[2022 Claims: Professional, Specialty Care]]/ValbyACO_ICC4[[#This Row],[2021 Claims: Professional, Specialty Care]]-1),"NA")</f>
        <v>NA</v>
      </c>
      <c r="AK39" s="162" t="str">
        <f>IFERROR(IF(ValbyACO_ICC4[[#This Row],[2021 Member Months]]=0,"NA", ValbyACO_ICC4[[#This Row],[2022 Claims: Professional Other]]/ValbyACO_ICC4[[#This Row],[2021 Claims: Professional Other]]-1),"NA")</f>
        <v>NA</v>
      </c>
      <c r="AL39" s="162" t="str">
        <f>IFERROR(IF(ValbyACO_ICC4[[#This Row],[2021 Member Months]]=0,"NA",ValbyACO_ICC4[[#This Row],[2022 Claims: Pharmacy (Gross of Retail Pharmacy Rebates)]]/ValbyACO_ICC4[[#This Row],[2021 Claims: Pharmacy (Gross of  Rebates)]]-1),"NA")</f>
        <v>NA</v>
      </c>
      <c r="AM39" s="162" t="str">
        <f>IFERROR(IF(ValbyACO_ICC4[[#This Row],[2021 Member Months]]=0,"NA",ValbyACO_ICC4[[#This Row],[2022 Claims: Long-term Care]]/ValbyACO_ICC4[[#This Row],[2021 Claims: Long-term Care]]-1),"NA")</f>
        <v>NA</v>
      </c>
      <c r="AN39" s="162" t="str">
        <f>IFERROR(IF(ValbyACO_ICC4[[#This Row],[2021 Member Months]]=0,"NA",ValbyACO_ICC4[[#This Row],[2022 Claims: Other]]/ValbyACO_ICC4[[#This Row],[2021 Claims: Other]]-1),"NA")</f>
        <v>NA</v>
      </c>
      <c r="AO39" s="163" t="str">
        <f>IFERROR(IF(ValbyACO_ICC4[[#This Row],[2021 Member Months]]=0,"NA",ValbyACO_ICC4[[#This Row],[2022 TOTAL Non-Truncated Claims Expenses]]/ValbyACO_ICC4[[#This Row],[2021 TOTAL Non-Truncated Claims Expenses]]-1),"NA")</f>
        <v>NA</v>
      </c>
      <c r="AP39" s="163" t="str">
        <f>IFERROR(IF(ValbyACO_ICC4[[#This Row],[2021 Member Months]]=0,"NA",ValbyACO_ICC4[[#This Row],[2022 TOTAL Truncated Claims Expenses]]/ValbyACO_ICC4[[#This Row],[2021 TOTAL Truncated Claims Expenses]]-1),"NA")</f>
        <v>NA</v>
      </c>
      <c r="AQ39" s="163" t="str">
        <f>IFERROR(IF(ValbyACO_ICC4[[#This Row],[2021 Member Months]]=0,"NA",ValbyACO_ICC4[[#This Row],[2022 TOTAL Non-Claims Expenses]]/ValbyACO_ICC4[[#This Row],[2021 TOTAL Non-Claims Expenses]]-1),"NA")</f>
        <v>NA</v>
      </c>
      <c r="AR39" s="163" t="str">
        <f>IFERROR(IF(ValbyACO_ICC4[[#This Row],[2021 Member Months]]=0,"NA",ValbyACO_ICC4[[#This Row],[2022 TOTAL Non-Truncated Total Expenses]]/ValbyACO_ICC4[[#This Row],[2021 TOTAL Non-Truncated Total Expenses]]-1),"NA")</f>
        <v>NA</v>
      </c>
      <c r="AS39" s="164" t="str">
        <f>IFERROR(IF(ValbyACO_ICC4[[#This Row],[2021 Member Months]]=0,"NA",ValbyACO_ICC4[[#This Row],[2022 TOTAL Truncated Total Expenses]]/ValbyACO_ICC4[[#This Row],[2021 TOTAL Truncated Total Expenses]]-1),"NA")</f>
        <v>NA</v>
      </c>
    </row>
    <row r="40" spans="1:45" x14ac:dyDescent="0.35">
      <c r="A40" s="129"/>
      <c r="B40" s="250">
        <v>105</v>
      </c>
      <c r="C40" s="131" t="s">
        <v>169</v>
      </c>
      <c r="D40" s="272">
        <f>SUMIFS(ACOAETME2021[[#All],[Member Months]], ACOAETME2021[[#All],[Insurance Category Code]], $E$34, ACOAETME2021[[#All],[ACO/AE or Insurer Overall Organization ID]], ValbyACO_ICC4[[#This Row],[Org ID]])</f>
        <v>0</v>
      </c>
      <c r="E40" s="268" t="str">
        <f>IFERROR(IF(ValbyACO_ICC4[[#This Row],[2021 Member Months]]=0,"NA",SUMIFS(ACOAETME2021[[#All],[Claims: Hospital Inpatient]], ACOAETME2021[[#All],[Insurance Category Code]], $E$34, ACOAETME2021[[#All],[ACO/AE or Insurer Overall Organization ID]], ValbyACO_ICC4[[#This Row],[Org ID]])/ValbyACO_ICC4[[#This Row],[2021 Member Months]]), "NA")</f>
        <v>NA</v>
      </c>
      <c r="F40" s="418" t="str">
        <f>IFERROR(IF(ValbyACO_ICC4[[#This Row],[2021 Member Months]]=0,"NA",SUMIFS(ACOAETME2021[[#All],[Claims: Hospital Outpatient]], ACOAETME2021[[#All],[Insurance Category Code]], $E$34, ACOAETME2021[[#All],[ACO/AE or Insurer Overall Organization ID]], ValbyACO_ICC4[[#This Row],[Org ID]])/ValbyACO_ICC4[[#This Row],[2021 Member Months]]), "NA")</f>
        <v>NA</v>
      </c>
      <c r="G40" s="268" t="str">
        <f>IFERROR(IF(ValbyACO_ICC4[[#This Row],[2021 Member Months]]=0,"NA",SUMIFS(ACOAETME2021[[#All],[Claims: Professional, Primary Care]], ACOAETME2021[[#All],[Insurance Category Code]], $E$34, ACOAETME2021[[#All],[ACO/AE or Insurer Overall Organization ID]], ValbyACO_ICC4[[#This Row],[Org ID]])/ValbyACO_ICC4[[#This Row],[2021 Member Months]]), "NA")</f>
        <v>NA</v>
      </c>
      <c r="H40" s="268" t="str">
        <f>IFERROR(IF(ValbyACO_ICC4[[#This Row],[2021 Member Months]]=0,"NA",SUMIFS(ACOAETME2021[[#All],[Claims: Professional, Specialty Care]], ACOAETME2021[[#All],[Insurance Category Code]], $E$34, ACOAETME2021[[#All],[ACO/AE or Insurer Overall Organization ID]], ValbyACO_ICC4[[#This Row],[Org ID]])/ValbyACO_ICC4[[#This Row],[2021 Member Months]]), "NA")</f>
        <v>NA</v>
      </c>
      <c r="I40" s="268" t="str">
        <f>IFERROR(IF(ValbyACO_ICC4[[#This Row],[2021 Member Months]]=0,"NA",SUMIFS(ACOAETME2021[[#All],[Claims: Professional Other]], ACOAETME2021[[#All],[Insurance Category Code]], $E$34, ACOAETME2021[[#All],[ACO/AE or Insurer Overall Organization ID]], ValbyACO_ICC4[[#This Row],[Org ID]])/ValbyACO_ICC4[[#This Row],[2021 Member Months]]), "NA")</f>
        <v>NA</v>
      </c>
      <c r="J40" s="268" t="str">
        <f>IFERROR(IF(ValbyACO_ICC4[[#This Row],[2021 Member Months]]=0,"NA",SUMIFS(ACOAETME2021[[#All],[Claims: Pharmacy]], ACOAETME2021[[#All],[Insurance Category Code]], $E$34, ACOAETME2021[[#All],[ACO/AE or Insurer Overall Organization ID]], ValbyACO_ICC4[[#This Row],[Org ID]])/ValbyACO_ICC4[[#This Row],[2021 Member Months]]), "NA")</f>
        <v>NA</v>
      </c>
      <c r="K40" s="268" t="str">
        <f>IFERROR(IF(ValbyACO_ICC4[[#This Row],[2021 Member Months]]=0,"NA",SUMIFS(ACOAETME2021[[#All],[Claims: Long-Term Care]], ACOAETME2021[[#All],[Insurance Category Code]], $E$34, ACOAETME2021[[#All],[ACO/AE or Insurer Overall Organization ID]], ValbyACO_ICC4[[#This Row],[Org ID]])/ValbyACO_ICC4[[#This Row],[2021 Member Months]]), "NA")</f>
        <v>NA</v>
      </c>
      <c r="L40" s="268" t="str">
        <f>IFERROR(IF(ValbyACO_ICC4[[#This Row],[2021 Member Months]]=0,"NA",SUMIFS(ACOAETME2021[[#All],[Claims: Other]], ACOAETME2021[[#All],[Insurance Category Code]], $E$34, ACOAETME2021[[#All],[ACO/AE or Insurer Overall Organization ID]], ValbyACO_ICC4[[#This Row],[Org ID]])/ValbyACO_ICC4[[#This Row],[2021 Member Months]]), "NA")</f>
        <v>NA</v>
      </c>
      <c r="M40" s="118" t="str">
        <f>IF(ValbyACO_ICC4[[#This Row],[2021 Member Months]]=0,"NA",SUMIFS(ACOAETME2021[[#All],[TOTAL Non-Truncated Unadjusted Claims Expenses]], ACOAETME2021[[#All],[Insurance Category Code]], $E$34, ACOAETME2021[[#All],[ACO/AE or Insurer Overall Organization ID]], ValbyACO_ICC4[[#This Row],[Org ID]])/ValbyACO_ICC4[[#This Row],[2021 Member Months]])</f>
        <v>NA</v>
      </c>
      <c r="N40" s="118" t="str">
        <f>IF(ValbyACO_ICC4[[#This Row],[2021 Member Months]]=0,"NA",SUMIFS(ACOAETME2021[[#All],[TOTAL Truncated Unadjusted Claims Expenses (A19 - A17)]], ACOAETME2021[[#All],[Insurance Category Code]], $E$34, ACOAETME2021[[#All],[ACO/AE or Insurer Overall Organization ID]], ValbyACO_ICC4[[#This Row],[Org ID]])/ValbyACO_ICC4[[#This Row],[2021 Member Months]])</f>
        <v>NA</v>
      </c>
      <c r="O40" s="118" t="str">
        <f>IF(ValbyACO_ICC4[[#This Row],[2021 Member Months]]=0,"NA",SUMIFS(ACOAETME2021[[#All],[TOTAL Non-Claims Expenses]], ACOAETME2021[[#All],[Insurance Category Code]], $E$34, ACOAETME2021[[#All],[ACO/AE or Insurer Overall Organization ID]], ValbyACO_ICC4[[#This Row],[Org ID]])/ValbyACO_ICC4[[#This Row],[2021 Member Months]])</f>
        <v>NA</v>
      </c>
      <c r="P40" s="268" t="str">
        <f>IF(ValbyACO_ICC4[[#This Row],[2021 Member Months]]=0, "NA", SUMIFS(ACOAETME2021[[#All],[TOTAL Non-Truncated Unadjusted Expenses 
(A19+A21)]], ACOAETME2021[[#All],[Insurance Category Code]], $E$34, ACOAETME2021[[#All],[ACO/AE or Insurer Overall Organization ID]], ValbyACO_ICC4[[#This Row],[Org ID]])/ValbyACO_ICC4[[#This Row],[2021 Member Months]])</f>
        <v>NA</v>
      </c>
      <c r="Q40" s="119" t="str">
        <f>IF(ValbyACO_ICC4[[#This Row],[2021 Member Months]]=0, "NA", SUMIFS(ACOAETME2021[[#All],[TOTAL Truncated Unadjusted Expenses (A20+A21)]], ACOAETME2021[[#All],[Insurance Category Code]], $E$34, ACOAETME2021[[#All],[ACO/AE or Insurer Overall Organization ID]], ValbyACO_ICC4[[#This Row],[Org ID]])/ValbyACO_ICC4[[#This Row],[2021 Member Months]])</f>
        <v>NA</v>
      </c>
      <c r="R40" s="192">
        <f>SUMIFS(ACOAETME2022[[#All],[Member Months]],ACOAETME2022[[#All],[Insurance Category Code]],$E$34,ACOAETME2022[[#All],[ACO/AE or Insurer Overall Organization ID]],ValbyACO_ICC4[[#This Row],[Org ID]])</f>
        <v>0</v>
      </c>
      <c r="S40" s="118" t="str">
        <f>IF(ValbyACO_ICC4[[#This Row],[2022 Member Months]]=0,"NA",SUMIFS(ACOAETME2022[[#All],[Claims: Hospital Inpatient]],ACOAETME2022[[#All],[Insurance Category Code]],$E$34,ACOAETME2022[[#All],[ACO/AE or Insurer Overall Organization ID]],ValbyACO_ICC4[[#This Row],[Org ID]])/ValbyACO_ICC4[[#This Row],[2022 Member Months]])</f>
        <v>NA</v>
      </c>
      <c r="T40" s="118" t="str">
        <f>IF(ValbyACO_ICC4[[#This Row],[2022 Member Months]]=0,"NA",SUMIFS(ACOAETME2022[[#All],[Claims: Hospital Outpatient]],ACOAETME2022[[#All],[Insurance Category Code]],$E$34,ACOAETME2022[[#All],[ACO/AE or Insurer Overall Organization ID]],ValbyACO_ICC4[[#This Row],[Org ID]])/ValbyACO_ICC4[[#This Row],[2022 Member Months]])</f>
        <v>NA</v>
      </c>
      <c r="U40" s="118" t="str">
        <f>IF(ValbyACO_ICC4[[#This Row],[2022 Member Months]]=0,"NA",SUMIFS(ACOAETME2022[[#All],[Claims: Professional, Primary Care]],ACOAETME2022[[#All],[Insurance Category Code]],$E$34,ACOAETME2022[[#All],[ACO/AE or Insurer Overall Organization ID]],ValbyACO_ICC4[[#This Row],[Org ID]])/ValbyACO_ICC4[[#This Row],[2022 Member Months]])</f>
        <v>NA</v>
      </c>
      <c r="V40" s="118" t="str">
        <f>IF(ValbyACO_ICC4[[#This Row],[2022 Member Months]]=0,"NA",SUMIFS(ACOAETME2022[[#All],[Claims: Professional, Specialty Care]],ACOAETME2022[[#All],[Insurance Category Code]], $E$34,ACOAETME2022[[#All],[ACO/AE or Insurer Overall Organization ID]],ValbyACO_ICC4[[#This Row],[Org ID]])/ValbyACO_ICC4[[#This Row],[2022 Member Months]])</f>
        <v>NA</v>
      </c>
      <c r="W40" s="118" t="str">
        <f>IF(ValbyACO_ICC4[[#This Row],[2022 Member Months]]=0,"NA",SUMIFS(ACOAETME2022[[#All],[Claims: Professional Other]],ACOAETME2022[[#All],[Insurance Category Code]], $E$34,ACOAETME2022[[#All],[ACO/AE or Insurer Overall Organization ID]],ValbyACO_ICC4[[#This Row],[Org ID]])/ValbyACO_ICC4[[#This Row],[2022 Member Months]])</f>
        <v>NA</v>
      </c>
      <c r="X40" s="118" t="str">
        <f>IF(ValbyACO_ICC4[[#This Row],[2022 Member Months]]=0,"NA",SUMIFS(ACOAETME2022[[#All],[Claims: Pharmacy]],ACOAETME2022[[#All],[Insurance Category Code]], $E$34,ACOAETME2022[[#All],[ACO/AE or Insurer Overall Organization ID]],ValbyACO_ICC4[[#This Row],[Org ID]])/ValbyACO_ICC4[[#This Row],[2022 Member Months]])</f>
        <v>NA</v>
      </c>
      <c r="Y40" s="118" t="str">
        <f>IF(ValbyACO_ICC4[[#This Row],[2022 Member Months]]=0,"NA",SUMIFS(ACOAETME2022[[#All],[Claims: Long-Term Care]],ACOAETME2022[[#All],[Insurance Category Code]], $E$34,ACOAETME2022[[#All],[ACO/AE or Insurer Overall Organization ID]],ValbyACO_ICC4[[#This Row],[Org ID]])/ValbyACO_ICC4[[#This Row],[2022 Member Months]])</f>
        <v>NA</v>
      </c>
      <c r="Z40" s="118" t="str">
        <f>IF(ValbyACO_ICC4[[#This Row],[2022 Member Months]]=0,"NA",SUMIFS(ACOAETME2022[[#All],[Claims: Other]],ACOAETME2022[[#All],[Insurance Category Code]], $E$34,ACOAETME2022[[#All],[ACO/AE or Insurer Overall Organization ID]],ValbyACO_ICC4[[#This Row],[Org ID]])/ValbyACO_ICC4[[#This Row],[2022 Member Months]])</f>
        <v>NA</v>
      </c>
      <c r="AA40" s="118" t="str">
        <f>IF(ValbyACO_ICC4[[#This Row],[2022 Member Months]]=0,"NA",SUMIFS(ACOAETME2022[[#All],[TOTAL Non-Truncated Unadjusted Claims Expenses]],ACOAETME2022[[#All],[Insurance Category Code]], $E$34,ACOAETME2022[[#All],[ACO/AE or Insurer Overall Organization ID]],ValbyACO_ICC4[[#This Row],[Org ID]])/ValbyACO_ICC4[[#This Row],[2022 Member Months]])</f>
        <v>NA</v>
      </c>
      <c r="AB40" s="118" t="str">
        <f>IF(ValbyACO_ICC4[[#This Row],[2022 Member Months]]=0,"NA",SUMIFS(ACOAETME2022[[#All],[TOTAL Truncated Unadjusted Expenses (A20+A21)]],ACOAETME2022[[#All],[Insurance Category Code]], $E$34,ACOAETME2022[[#All],[ACO/AE or Insurer Overall Organization ID]],ValbyACO_ICC4[[#This Row],[Org ID]])/ValbyACO_ICC4[[#This Row],[2022 Member Months]])</f>
        <v>NA</v>
      </c>
      <c r="AC40" s="118" t="str">
        <f>IF(ValbyACO_ICC4[[#This Row],[2022 Member Months]]=0,"NA",SUMIFS(ACOAETME2022[[#All],[TOTAL Non-Claims Expenses]],ACOAETME2022[[#All],[Insurance Category Code]], $E$34,ACOAETME2022[[#All],[ACO/AE or Insurer Overall Organization ID]],ValbyACO_ICC4[[#This Row],[Org ID]])/ValbyACO_ICC4[[#This Row],[2022 Member Months]])</f>
        <v>NA</v>
      </c>
      <c r="AD40" s="268" t="str">
        <f>IF(ValbyACO_ICC4[[#This Row],[2022 Member Months]]=0,"NA",SUMIFS(ACOAETME2022[[#All],[TOTAL Non-Truncated Unadjusted Expenses 
(A19+A21)]],ACOAETME2022[[#All],[Insurance Category Code]], $E$34,ACOAETME2022[[#All],[ACO/AE or Insurer Overall Organization ID]],ValbyACO_ICC4[[#This Row],[Org ID]])/ValbyACO_ICC4[[#This Row],[2022 Member Months]])</f>
        <v>NA</v>
      </c>
      <c r="AE40" s="119" t="str">
        <f>IF(ValbyACO_ICC4[[#This Row],[2022 Member Months]]=0,"NA",SUMIFS(ACOAETME2022[[#All],[TOTAL Truncated Unadjusted Expenses (A20+A21)]],ACOAETME2022[[#All],[Insurance Category Code]],$E$34,ACOAETME2022[[#All],[ACO/AE or Insurer Overall Organization ID]],ValbyACO_ICC4[[#This Row],[Org ID]])/ValbyACO_ICC4[[#This Row],[2022 Member Months]])</f>
        <v>NA</v>
      </c>
      <c r="AF40" s="160" t="str">
        <f>IFERROR(IF(ValbyACO_ICC4[[#This Row],[2021 Member Months]]=0,"NA",ValbyACO_ICC4[[#This Row],[2022 Member Months]]/ValbyACO_ICC4[[#This Row],[2021 Member Months]]-1),"NA")</f>
        <v>NA</v>
      </c>
      <c r="AG40" s="161" t="str">
        <f>IFERROR(IF(ValbyACO_ICC4[[#This Row],[2021 Member Months]]=0,"NA",ValbyACO_ICC4[[#This Row],[2022 Claims: Hospital Inpatient]]/ValbyACO_ICC4[[#This Row],[2021 Claims: Hospital Inpatient]]-1),"NA")</f>
        <v>NA</v>
      </c>
      <c r="AH40" s="162" t="str">
        <f>IFERROR(IF(ValbyACO_ICC4[[#This Row],[2021 Member Months]]=0,"NA",ValbyACO_ICC4[[#This Row],[2022 Claims: Hospital Outpatient]]/ValbyACO_ICC4[[#This Row],[2021 Claims: Hospital Outpatient]]-1),"NA")</f>
        <v>NA</v>
      </c>
      <c r="AI40" s="162" t="str">
        <f>IFERROR(IF(ValbyACO_ICC4[[#This Row],[2021 Member Months]]=0,"NA",ValbyACO_ICC4[[#This Row],[2022 Claims: Professional, Primary Care]]/ValbyACO_ICC4[[#This Row],[2021 Claims: Professional, Primary Care]]-1),"NA")</f>
        <v>NA</v>
      </c>
      <c r="AJ40" s="162" t="str">
        <f>IFERROR(IF(ValbyACO_ICC4[[#This Row],[2021 Member Months]]=0,"NA",ValbyACO_ICC4[[#This Row],[2022 Claims: Professional, Specialty Care]]/ValbyACO_ICC4[[#This Row],[2021 Claims: Professional, Specialty Care]]-1),"NA")</f>
        <v>NA</v>
      </c>
      <c r="AK40" s="162" t="str">
        <f>IFERROR(IF(ValbyACO_ICC4[[#This Row],[2021 Member Months]]=0,"NA", ValbyACO_ICC4[[#This Row],[2022 Claims: Professional Other]]/ValbyACO_ICC4[[#This Row],[2021 Claims: Professional Other]]-1),"NA")</f>
        <v>NA</v>
      </c>
      <c r="AL40" s="162" t="str">
        <f>IFERROR(IF(ValbyACO_ICC4[[#This Row],[2021 Member Months]]=0,"NA",ValbyACO_ICC4[[#This Row],[2022 Claims: Pharmacy (Gross of Retail Pharmacy Rebates)]]/ValbyACO_ICC4[[#This Row],[2021 Claims: Pharmacy (Gross of  Rebates)]]-1),"NA")</f>
        <v>NA</v>
      </c>
      <c r="AM40" s="162" t="str">
        <f>IFERROR(IF(ValbyACO_ICC4[[#This Row],[2021 Member Months]]=0,"NA",ValbyACO_ICC4[[#This Row],[2022 Claims: Long-term Care]]/ValbyACO_ICC4[[#This Row],[2021 Claims: Long-term Care]]-1),"NA")</f>
        <v>NA</v>
      </c>
      <c r="AN40" s="162" t="str">
        <f>IFERROR(IF(ValbyACO_ICC4[[#This Row],[2021 Member Months]]=0,"NA",ValbyACO_ICC4[[#This Row],[2022 Claims: Other]]/ValbyACO_ICC4[[#This Row],[2021 Claims: Other]]-1),"NA")</f>
        <v>NA</v>
      </c>
      <c r="AO40" s="163" t="str">
        <f>IFERROR(IF(ValbyACO_ICC4[[#This Row],[2021 Member Months]]=0,"NA",ValbyACO_ICC4[[#This Row],[2022 TOTAL Non-Truncated Claims Expenses]]/ValbyACO_ICC4[[#This Row],[2021 TOTAL Non-Truncated Claims Expenses]]-1),"NA")</f>
        <v>NA</v>
      </c>
      <c r="AP40" s="163" t="str">
        <f>IFERROR(IF(ValbyACO_ICC4[[#This Row],[2021 Member Months]]=0,"NA",ValbyACO_ICC4[[#This Row],[2022 TOTAL Truncated Claims Expenses]]/ValbyACO_ICC4[[#This Row],[2021 TOTAL Truncated Claims Expenses]]-1),"NA")</f>
        <v>NA</v>
      </c>
      <c r="AQ40" s="163" t="str">
        <f>IFERROR(IF(ValbyACO_ICC4[[#This Row],[2021 Member Months]]=0,"NA",ValbyACO_ICC4[[#This Row],[2022 TOTAL Non-Claims Expenses]]/ValbyACO_ICC4[[#This Row],[2021 TOTAL Non-Claims Expenses]]-1),"NA")</f>
        <v>NA</v>
      </c>
      <c r="AR40" s="163" t="str">
        <f>IFERROR(IF(ValbyACO_ICC4[[#This Row],[2021 Member Months]]=0,"NA",ValbyACO_ICC4[[#This Row],[2022 TOTAL Non-Truncated Total Expenses]]/ValbyACO_ICC4[[#This Row],[2021 TOTAL Non-Truncated Total Expenses]]-1),"NA")</f>
        <v>NA</v>
      </c>
      <c r="AS40" s="164" t="str">
        <f>IFERROR(IF(ValbyACO_ICC4[[#This Row],[2021 Member Months]]=0,"NA",ValbyACO_ICC4[[#This Row],[2022 TOTAL Truncated Total Expenses]]/ValbyACO_ICC4[[#This Row],[2021 TOTAL Truncated Total Expenses]]-1),"NA")</f>
        <v>NA</v>
      </c>
    </row>
    <row r="41" spans="1:45" x14ac:dyDescent="0.35">
      <c r="A41" s="129"/>
      <c r="B41" s="250">
        <v>106</v>
      </c>
      <c r="C41" s="131" t="s">
        <v>170</v>
      </c>
      <c r="D41" s="272">
        <f>SUMIFS(ACOAETME2021[[#All],[Member Months]], ACOAETME2021[[#All],[Insurance Category Code]], $E$34, ACOAETME2021[[#All],[ACO/AE or Insurer Overall Organization ID]], ValbyACO_ICC4[[#This Row],[Org ID]])</f>
        <v>0</v>
      </c>
      <c r="E41" s="268" t="str">
        <f>IFERROR(IF(ValbyACO_ICC4[[#This Row],[2021 Member Months]]=0,"NA",SUMIFS(ACOAETME2021[[#All],[Claims: Hospital Inpatient]], ACOAETME2021[[#All],[Insurance Category Code]], $E$34, ACOAETME2021[[#All],[ACO/AE or Insurer Overall Organization ID]], ValbyACO_ICC4[[#This Row],[Org ID]])/ValbyACO_ICC4[[#This Row],[2021 Member Months]]), "NA")</f>
        <v>NA</v>
      </c>
      <c r="F41" s="418" t="str">
        <f>IFERROR(IF(ValbyACO_ICC4[[#This Row],[2021 Member Months]]=0,"NA",SUMIFS(ACOAETME2021[[#All],[Claims: Hospital Outpatient]], ACOAETME2021[[#All],[Insurance Category Code]], $E$34, ACOAETME2021[[#All],[ACO/AE or Insurer Overall Organization ID]], ValbyACO_ICC4[[#This Row],[Org ID]])/ValbyACO_ICC4[[#This Row],[2021 Member Months]]), "NA")</f>
        <v>NA</v>
      </c>
      <c r="G41" s="268" t="str">
        <f>IFERROR(IF(ValbyACO_ICC4[[#This Row],[2021 Member Months]]=0,"NA",SUMIFS(ACOAETME2021[[#All],[Claims: Professional, Primary Care]], ACOAETME2021[[#All],[Insurance Category Code]], $E$34, ACOAETME2021[[#All],[ACO/AE or Insurer Overall Organization ID]], ValbyACO_ICC4[[#This Row],[Org ID]])/ValbyACO_ICC4[[#This Row],[2021 Member Months]]), "NA")</f>
        <v>NA</v>
      </c>
      <c r="H41" s="268" t="str">
        <f>IFERROR(IF(ValbyACO_ICC4[[#This Row],[2021 Member Months]]=0,"NA",SUMIFS(ACOAETME2021[[#All],[Claims: Professional, Specialty Care]], ACOAETME2021[[#All],[Insurance Category Code]], $E$34, ACOAETME2021[[#All],[ACO/AE or Insurer Overall Organization ID]], ValbyACO_ICC4[[#This Row],[Org ID]])/ValbyACO_ICC4[[#This Row],[2021 Member Months]]), "NA")</f>
        <v>NA</v>
      </c>
      <c r="I41" s="268" t="str">
        <f>IFERROR(IF(ValbyACO_ICC4[[#This Row],[2021 Member Months]]=0,"NA",SUMIFS(ACOAETME2021[[#All],[Claims: Professional Other]], ACOAETME2021[[#All],[Insurance Category Code]], $E$34, ACOAETME2021[[#All],[ACO/AE or Insurer Overall Organization ID]], ValbyACO_ICC4[[#This Row],[Org ID]])/ValbyACO_ICC4[[#This Row],[2021 Member Months]]), "NA")</f>
        <v>NA</v>
      </c>
      <c r="J41" s="268" t="str">
        <f>IFERROR(IF(ValbyACO_ICC4[[#This Row],[2021 Member Months]]=0,"NA",SUMIFS(ACOAETME2021[[#All],[Claims: Pharmacy]], ACOAETME2021[[#All],[Insurance Category Code]], $E$34, ACOAETME2021[[#All],[ACO/AE or Insurer Overall Organization ID]], ValbyACO_ICC4[[#This Row],[Org ID]])/ValbyACO_ICC4[[#This Row],[2021 Member Months]]), "NA")</f>
        <v>NA</v>
      </c>
      <c r="K41" s="268" t="str">
        <f>IFERROR(IF(ValbyACO_ICC4[[#This Row],[2021 Member Months]]=0,"NA",SUMIFS(ACOAETME2021[[#All],[Claims: Long-Term Care]], ACOAETME2021[[#All],[Insurance Category Code]], $E$34, ACOAETME2021[[#All],[ACO/AE or Insurer Overall Organization ID]], ValbyACO_ICC4[[#This Row],[Org ID]])/ValbyACO_ICC4[[#This Row],[2021 Member Months]]), "NA")</f>
        <v>NA</v>
      </c>
      <c r="L41" s="268" t="str">
        <f>IFERROR(IF(ValbyACO_ICC4[[#This Row],[2021 Member Months]]=0,"NA",SUMIFS(ACOAETME2021[[#All],[Claims: Other]], ACOAETME2021[[#All],[Insurance Category Code]], $E$34, ACOAETME2021[[#All],[ACO/AE or Insurer Overall Organization ID]], ValbyACO_ICC4[[#This Row],[Org ID]])/ValbyACO_ICC4[[#This Row],[2021 Member Months]]), "NA")</f>
        <v>NA</v>
      </c>
      <c r="M41" s="118" t="str">
        <f>IF(ValbyACO_ICC4[[#This Row],[2021 Member Months]]=0,"NA",SUMIFS(ACOAETME2021[[#All],[TOTAL Non-Truncated Unadjusted Claims Expenses]], ACOAETME2021[[#All],[Insurance Category Code]], $E$34, ACOAETME2021[[#All],[ACO/AE or Insurer Overall Organization ID]], ValbyACO_ICC4[[#This Row],[Org ID]])/ValbyACO_ICC4[[#This Row],[2021 Member Months]])</f>
        <v>NA</v>
      </c>
      <c r="N41" s="118" t="str">
        <f>IF(ValbyACO_ICC4[[#This Row],[2021 Member Months]]=0,"NA",SUMIFS(ACOAETME2021[[#All],[TOTAL Truncated Unadjusted Claims Expenses (A19 - A17)]], ACOAETME2021[[#All],[Insurance Category Code]], $E$34, ACOAETME2021[[#All],[ACO/AE or Insurer Overall Organization ID]], ValbyACO_ICC4[[#This Row],[Org ID]])/ValbyACO_ICC4[[#This Row],[2021 Member Months]])</f>
        <v>NA</v>
      </c>
      <c r="O41" s="118" t="str">
        <f>IF(ValbyACO_ICC4[[#This Row],[2021 Member Months]]=0,"NA",SUMIFS(ACOAETME2021[[#All],[TOTAL Non-Claims Expenses]], ACOAETME2021[[#All],[Insurance Category Code]], $E$34, ACOAETME2021[[#All],[ACO/AE or Insurer Overall Organization ID]], ValbyACO_ICC4[[#This Row],[Org ID]])/ValbyACO_ICC4[[#This Row],[2021 Member Months]])</f>
        <v>NA</v>
      </c>
      <c r="P41" s="268" t="str">
        <f>IF(ValbyACO_ICC4[[#This Row],[2021 Member Months]]=0, "NA", SUMIFS(ACOAETME2021[[#All],[TOTAL Non-Truncated Unadjusted Expenses 
(A19+A21)]], ACOAETME2021[[#All],[Insurance Category Code]], $E$34, ACOAETME2021[[#All],[ACO/AE or Insurer Overall Organization ID]], ValbyACO_ICC4[[#This Row],[Org ID]])/ValbyACO_ICC4[[#This Row],[2021 Member Months]])</f>
        <v>NA</v>
      </c>
      <c r="Q41" s="119" t="str">
        <f>IF(ValbyACO_ICC4[[#This Row],[2021 Member Months]]=0, "NA", SUMIFS(ACOAETME2021[[#All],[TOTAL Truncated Unadjusted Expenses (A20+A21)]], ACOAETME2021[[#All],[Insurance Category Code]], $E$34, ACOAETME2021[[#All],[ACO/AE or Insurer Overall Organization ID]], ValbyACO_ICC4[[#This Row],[Org ID]])/ValbyACO_ICC4[[#This Row],[2021 Member Months]])</f>
        <v>NA</v>
      </c>
      <c r="R41" s="192">
        <f>SUMIFS(ACOAETME2022[[#All],[Member Months]],ACOAETME2022[[#All],[Insurance Category Code]],$E$34,ACOAETME2022[[#All],[ACO/AE or Insurer Overall Organization ID]],ValbyACO_ICC4[[#This Row],[Org ID]])</f>
        <v>0</v>
      </c>
      <c r="S41" s="118" t="str">
        <f>IF(ValbyACO_ICC4[[#This Row],[2022 Member Months]]=0,"NA",SUMIFS(ACOAETME2022[[#All],[Claims: Hospital Inpatient]],ACOAETME2022[[#All],[Insurance Category Code]],$E$34,ACOAETME2022[[#All],[ACO/AE or Insurer Overall Organization ID]],ValbyACO_ICC4[[#This Row],[Org ID]])/ValbyACO_ICC4[[#This Row],[2022 Member Months]])</f>
        <v>NA</v>
      </c>
      <c r="T41" s="118" t="str">
        <f>IF(ValbyACO_ICC4[[#This Row],[2022 Member Months]]=0,"NA",SUMIFS(ACOAETME2022[[#All],[Claims: Hospital Outpatient]],ACOAETME2022[[#All],[Insurance Category Code]],$E$34,ACOAETME2022[[#All],[ACO/AE or Insurer Overall Organization ID]],ValbyACO_ICC4[[#This Row],[Org ID]])/ValbyACO_ICC4[[#This Row],[2022 Member Months]])</f>
        <v>NA</v>
      </c>
      <c r="U41" s="118" t="str">
        <f>IF(ValbyACO_ICC4[[#This Row],[2022 Member Months]]=0,"NA",SUMIFS(ACOAETME2022[[#All],[Claims: Professional, Primary Care]],ACOAETME2022[[#All],[Insurance Category Code]],$E$34,ACOAETME2022[[#All],[ACO/AE or Insurer Overall Organization ID]],ValbyACO_ICC4[[#This Row],[Org ID]])/ValbyACO_ICC4[[#This Row],[2022 Member Months]])</f>
        <v>NA</v>
      </c>
      <c r="V41" s="118" t="str">
        <f>IF(ValbyACO_ICC4[[#This Row],[2022 Member Months]]=0,"NA",SUMIFS(ACOAETME2022[[#All],[Claims: Professional, Specialty Care]],ACOAETME2022[[#All],[Insurance Category Code]], $E$34,ACOAETME2022[[#All],[ACO/AE or Insurer Overall Organization ID]],ValbyACO_ICC4[[#This Row],[Org ID]])/ValbyACO_ICC4[[#This Row],[2022 Member Months]])</f>
        <v>NA</v>
      </c>
      <c r="W41" s="118" t="str">
        <f>IF(ValbyACO_ICC4[[#This Row],[2022 Member Months]]=0,"NA",SUMIFS(ACOAETME2022[[#All],[Claims: Professional Other]],ACOAETME2022[[#All],[Insurance Category Code]], $E$34,ACOAETME2022[[#All],[ACO/AE or Insurer Overall Organization ID]],ValbyACO_ICC4[[#This Row],[Org ID]])/ValbyACO_ICC4[[#This Row],[2022 Member Months]])</f>
        <v>NA</v>
      </c>
      <c r="X41" s="118" t="str">
        <f>IF(ValbyACO_ICC4[[#This Row],[2022 Member Months]]=0,"NA",SUMIFS(ACOAETME2022[[#All],[Claims: Pharmacy]],ACOAETME2022[[#All],[Insurance Category Code]], $E$34,ACOAETME2022[[#All],[ACO/AE or Insurer Overall Organization ID]],ValbyACO_ICC4[[#This Row],[Org ID]])/ValbyACO_ICC4[[#This Row],[2022 Member Months]])</f>
        <v>NA</v>
      </c>
      <c r="Y41" s="118" t="str">
        <f>IF(ValbyACO_ICC4[[#This Row],[2022 Member Months]]=0,"NA",SUMIFS(ACOAETME2022[[#All],[Claims: Long-Term Care]],ACOAETME2022[[#All],[Insurance Category Code]], $E$34,ACOAETME2022[[#All],[ACO/AE or Insurer Overall Organization ID]],ValbyACO_ICC4[[#This Row],[Org ID]])/ValbyACO_ICC4[[#This Row],[2022 Member Months]])</f>
        <v>NA</v>
      </c>
      <c r="Z41" s="118" t="str">
        <f>IF(ValbyACO_ICC4[[#This Row],[2022 Member Months]]=0,"NA",SUMIFS(ACOAETME2022[[#All],[Claims: Other]],ACOAETME2022[[#All],[Insurance Category Code]], $E$34,ACOAETME2022[[#All],[ACO/AE or Insurer Overall Organization ID]],ValbyACO_ICC4[[#This Row],[Org ID]])/ValbyACO_ICC4[[#This Row],[2022 Member Months]])</f>
        <v>NA</v>
      </c>
      <c r="AA41" s="118" t="str">
        <f>IF(ValbyACO_ICC4[[#This Row],[2022 Member Months]]=0,"NA",SUMIFS(ACOAETME2022[[#All],[TOTAL Non-Truncated Unadjusted Claims Expenses]],ACOAETME2022[[#All],[Insurance Category Code]], $E$34,ACOAETME2022[[#All],[ACO/AE or Insurer Overall Organization ID]],ValbyACO_ICC4[[#This Row],[Org ID]])/ValbyACO_ICC4[[#This Row],[2022 Member Months]])</f>
        <v>NA</v>
      </c>
      <c r="AB41" s="118" t="str">
        <f>IF(ValbyACO_ICC4[[#This Row],[2022 Member Months]]=0,"NA",SUMIFS(ACOAETME2022[[#All],[TOTAL Truncated Unadjusted Expenses (A20+A21)]],ACOAETME2022[[#All],[Insurance Category Code]], $E$34,ACOAETME2022[[#All],[ACO/AE or Insurer Overall Organization ID]],ValbyACO_ICC4[[#This Row],[Org ID]])/ValbyACO_ICC4[[#This Row],[2022 Member Months]])</f>
        <v>NA</v>
      </c>
      <c r="AC41" s="118" t="str">
        <f>IF(ValbyACO_ICC4[[#This Row],[2022 Member Months]]=0,"NA",SUMIFS(ACOAETME2022[[#All],[TOTAL Non-Claims Expenses]],ACOAETME2022[[#All],[Insurance Category Code]], $E$34,ACOAETME2022[[#All],[ACO/AE or Insurer Overall Organization ID]],ValbyACO_ICC4[[#This Row],[Org ID]])/ValbyACO_ICC4[[#This Row],[2022 Member Months]])</f>
        <v>NA</v>
      </c>
      <c r="AD41" s="268" t="str">
        <f>IF(ValbyACO_ICC4[[#This Row],[2022 Member Months]]=0,"NA",SUMIFS(ACOAETME2022[[#All],[TOTAL Non-Truncated Unadjusted Expenses 
(A19+A21)]],ACOAETME2022[[#All],[Insurance Category Code]], $E$34,ACOAETME2022[[#All],[ACO/AE or Insurer Overall Organization ID]],ValbyACO_ICC4[[#This Row],[Org ID]])/ValbyACO_ICC4[[#This Row],[2022 Member Months]])</f>
        <v>NA</v>
      </c>
      <c r="AE41" s="119" t="str">
        <f>IF(ValbyACO_ICC4[[#This Row],[2022 Member Months]]=0,"NA",SUMIFS(ACOAETME2022[[#All],[TOTAL Truncated Unadjusted Expenses (A20+A21)]],ACOAETME2022[[#All],[Insurance Category Code]],$E$34,ACOAETME2022[[#All],[ACO/AE or Insurer Overall Organization ID]],ValbyACO_ICC4[[#This Row],[Org ID]])/ValbyACO_ICC4[[#This Row],[2022 Member Months]])</f>
        <v>NA</v>
      </c>
      <c r="AF41" s="160" t="str">
        <f>IFERROR(IF(ValbyACO_ICC4[[#This Row],[2021 Member Months]]=0,"NA",ValbyACO_ICC4[[#This Row],[2022 Member Months]]/ValbyACO_ICC4[[#This Row],[2021 Member Months]]-1),"NA")</f>
        <v>NA</v>
      </c>
      <c r="AG41" s="161" t="str">
        <f>IFERROR(IF(ValbyACO_ICC4[[#This Row],[2021 Member Months]]=0,"NA",ValbyACO_ICC4[[#This Row],[2022 Claims: Hospital Inpatient]]/ValbyACO_ICC4[[#This Row],[2021 Claims: Hospital Inpatient]]-1),"NA")</f>
        <v>NA</v>
      </c>
      <c r="AH41" s="162" t="str">
        <f>IFERROR(IF(ValbyACO_ICC4[[#This Row],[2021 Member Months]]=0,"NA",ValbyACO_ICC4[[#This Row],[2022 Claims: Hospital Outpatient]]/ValbyACO_ICC4[[#This Row],[2021 Claims: Hospital Outpatient]]-1),"NA")</f>
        <v>NA</v>
      </c>
      <c r="AI41" s="162" t="str">
        <f>IFERROR(IF(ValbyACO_ICC4[[#This Row],[2021 Member Months]]=0,"NA",ValbyACO_ICC4[[#This Row],[2022 Claims: Professional, Primary Care]]/ValbyACO_ICC4[[#This Row],[2021 Claims: Professional, Primary Care]]-1),"NA")</f>
        <v>NA</v>
      </c>
      <c r="AJ41" s="162" t="str">
        <f>IFERROR(IF(ValbyACO_ICC4[[#This Row],[2021 Member Months]]=0,"NA",ValbyACO_ICC4[[#This Row],[2022 Claims: Professional, Specialty Care]]/ValbyACO_ICC4[[#This Row],[2021 Claims: Professional, Specialty Care]]-1),"NA")</f>
        <v>NA</v>
      </c>
      <c r="AK41" s="162" t="str">
        <f>IFERROR(IF(ValbyACO_ICC4[[#This Row],[2021 Member Months]]=0,"NA", ValbyACO_ICC4[[#This Row],[2022 Claims: Professional Other]]/ValbyACO_ICC4[[#This Row],[2021 Claims: Professional Other]]-1),"NA")</f>
        <v>NA</v>
      </c>
      <c r="AL41" s="162" t="str">
        <f>IFERROR(IF(ValbyACO_ICC4[[#This Row],[2021 Member Months]]=0,"NA",ValbyACO_ICC4[[#This Row],[2022 Claims: Pharmacy (Gross of Retail Pharmacy Rebates)]]/ValbyACO_ICC4[[#This Row],[2021 Claims: Pharmacy (Gross of  Rebates)]]-1),"NA")</f>
        <v>NA</v>
      </c>
      <c r="AM41" s="162" t="str">
        <f>IFERROR(IF(ValbyACO_ICC4[[#This Row],[2021 Member Months]]=0,"NA",ValbyACO_ICC4[[#This Row],[2022 Claims: Long-term Care]]/ValbyACO_ICC4[[#This Row],[2021 Claims: Long-term Care]]-1),"NA")</f>
        <v>NA</v>
      </c>
      <c r="AN41" s="162" t="str">
        <f>IFERROR(IF(ValbyACO_ICC4[[#This Row],[2021 Member Months]]=0,"NA",ValbyACO_ICC4[[#This Row],[2022 Claims: Other]]/ValbyACO_ICC4[[#This Row],[2021 Claims: Other]]-1),"NA")</f>
        <v>NA</v>
      </c>
      <c r="AO41" s="163" t="str">
        <f>IFERROR(IF(ValbyACO_ICC4[[#This Row],[2021 Member Months]]=0,"NA",ValbyACO_ICC4[[#This Row],[2022 TOTAL Non-Truncated Claims Expenses]]/ValbyACO_ICC4[[#This Row],[2021 TOTAL Non-Truncated Claims Expenses]]-1),"NA")</f>
        <v>NA</v>
      </c>
      <c r="AP41" s="163" t="str">
        <f>IFERROR(IF(ValbyACO_ICC4[[#This Row],[2021 Member Months]]=0,"NA",ValbyACO_ICC4[[#This Row],[2022 TOTAL Truncated Claims Expenses]]/ValbyACO_ICC4[[#This Row],[2021 TOTAL Truncated Claims Expenses]]-1),"NA")</f>
        <v>NA</v>
      </c>
      <c r="AQ41" s="163" t="str">
        <f>IFERROR(IF(ValbyACO_ICC4[[#This Row],[2021 Member Months]]=0,"NA",ValbyACO_ICC4[[#This Row],[2022 TOTAL Non-Claims Expenses]]/ValbyACO_ICC4[[#This Row],[2021 TOTAL Non-Claims Expenses]]-1),"NA")</f>
        <v>NA</v>
      </c>
      <c r="AR41" s="163" t="str">
        <f>IFERROR(IF(ValbyACO_ICC4[[#This Row],[2021 Member Months]]=0,"NA",ValbyACO_ICC4[[#This Row],[2022 TOTAL Non-Truncated Total Expenses]]/ValbyACO_ICC4[[#This Row],[2021 TOTAL Non-Truncated Total Expenses]]-1),"NA")</f>
        <v>NA</v>
      </c>
      <c r="AS41" s="164" t="str">
        <f>IFERROR(IF(ValbyACO_ICC4[[#This Row],[2021 Member Months]]=0,"NA",ValbyACO_ICC4[[#This Row],[2022 TOTAL Truncated Total Expenses]]/ValbyACO_ICC4[[#This Row],[2021 TOTAL Truncated Total Expenses]]-1),"NA")</f>
        <v>NA</v>
      </c>
    </row>
    <row r="42" spans="1:45" x14ac:dyDescent="0.35">
      <c r="A42" s="129"/>
      <c r="B42" s="250">
        <v>107</v>
      </c>
      <c r="C42" s="131" t="s">
        <v>171</v>
      </c>
      <c r="D42" s="272">
        <f>SUMIFS(ACOAETME2021[[#All],[Member Months]], ACOAETME2021[[#All],[Insurance Category Code]], $E$34, ACOAETME2021[[#All],[ACO/AE or Insurer Overall Organization ID]], ValbyACO_ICC4[[#This Row],[Org ID]])</f>
        <v>0</v>
      </c>
      <c r="E42" s="268" t="str">
        <f>IFERROR(IF(ValbyACO_ICC4[[#This Row],[2021 Member Months]]=0,"NA",SUMIFS(ACOAETME2021[[#All],[Claims: Hospital Inpatient]], ACOAETME2021[[#All],[Insurance Category Code]], $E$34, ACOAETME2021[[#All],[ACO/AE or Insurer Overall Organization ID]], ValbyACO_ICC4[[#This Row],[Org ID]])/ValbyACO_ICC4[[#This Row],[2021 Member Months]]), "NA")</f>
        <v>NA</v>
      </c>
      <c r="F42" s="418" t="str">
        <f>IFERROR(IF(ValbyACO_ICC4[[#This Row],[2021 Member Months]]=0,"NA",SUMIFS(ACOAETME2021[[#All],[Claims: Hospital Outpatient]], ACOAETME2021[[#All],[Insurance Category Code]], $E$34, ACOAETME2021[[#All],[ACO/AE or Insurer Overall Organization ID]], ValbyACO_ICC4[[#This Row],[Org ID]])/ValbyACO_ICC4[[#This Row],[2021 Member Months]]), "NA")</f>
        <v>NA</v>
      </c>
      <c r="G42" s="268" t="str">
        <f>IFERROR(IF(ValbyACO_ICC4[[#This Row],[2021 Member Months]]=0,"NA",SUMIFS(ACOAETME2021[[#All],[Claims: Professional, Primary Care]], ACOAETME2021[[#All],[Insurance Category Code]], $E$34, ACOAETME2021[[#All],[ACO/AE or Insurer Overall Organization ID]], ValbyACO_ICC4[[#This Row],[Org ID]])/ValbyACO_ICC4[[#This Row],[2021 Member Months]]), "NA")</f>
        <v>NA</v>
      </c>
      <c r="H42" s="268" t="str">
        <f>IFERROR(IF(ValbyACO_ICC4[[#This Row],[2021 Member Months]]=0,"NA",SUMIFS(ACOAETME2021[[#All],[Claims: Professional, Specialty Care]], ACOAETME2021[[#All],[Insurance Category Code]], $E$34, ACOAETME2021[[#All],[ACO/AE or Insurer Overall Organization ID]], ValbyACO_ICC4[[#This Row],[Org ID]])/ValbyACO_ICC4[[#This Row],[2021 Member Months]]), "NA")</f>
        <v>NA</v>
      </c>
      <c r="I42" s="268" t="str">
        <f>IFERROR(IF(ValbyACO_ICC4[[#This Row],[2021 Member Months]]=0,"NA",SUMIFS(ACOAETME2021[[#All],[Claims: Professional Other]], ACOAETME2021[[#All],[Insurance Category Code]], $E$34, ACOAETME2021[[#All],[ACO/AE or Insurer Overall Organization ID]], ValbyACO_ICC4[[#This Row],[Org ID]])/ValbyACO_ICC4[[#This Row],[2021 Member Months]]), "NA")</f>
        <v>NA</v>
      </c>
      <c r="J42" s="268" t="str">
        <f>IFERROR(IF(ValbyACO_ICC4[[#This Row],[2021 Member Months]]=0,"NA",SUMIFS(ACOAETME2021[[#All],[Claims: Pharmacy]], ACOAETME2021[[#All],[Insurance Category Code]], $E$34, ACOAETME2021[[#All],[ACO/AE or Insurer Overall Organization ID]], ValbyACO_ICC4[[#This Row],[Org ID]])/ValbyACO_ICC4[[#This Row],[2021 Member Months]]), "NA")</f>
        <v>NA</v>
      </c>
      <c r="K42" s="268" t="str">
        <f>IFERROR(IF(ValbyACO_ICC4[[#This Row],[2021 Member Months]]=0,"NA",SUMIFS(ACOAETME2021[[#All],[Claims: Long-Term Care]], ACOAETME2021[[#All],[Insurance Category Code]], $E$34, ACOAETME2021[[#All],[ACO/AE or Insurer Overall Organization ID]], ValbyACO_ICC4[[#This Row],[Org ID]])/ValbyACO_ICC4[[#This Row],[2021 Member Months]]), "NA")</f>
        <v>NA</v>
      </c>
      <c r="L42" s="268" t="str">
        <f>IFERROR(IF(ValbyACO_ICC4[[#This Row],[2021 Member Months]]=0,"NA",SUMIFS(ACOAETME2021[[#All],[Claims: Other]], ACOAETME2021[[#All],[Insurance Category Code]], $E$34, ACOAETME2021[[#All],[ACO/AE or Insurer Overall Organization ID]], ValbyACO_ICC4[[#This Row],[Org ID]])/ValbyACO_ICC4[[#This Row],[2021 Member Months]]), "NA")</f>
        <v>NA</v>
      </c>
      <c r="M42" s="118" t="str">
        <f>IF(ValbyACO_ICC4[[#This Row],[2021 Member Months]]=0,"NA",SUMIFS(ACOAETME2021[[#All],[TOTAL Non-Truncated Unadjusted Claims Expenses]], ACOAETME2021[[#All],[Insurance Category Code]], $E$34, ACOAETME2021[[#All],[ACO/AE or Insurer Overall Organization ID]], ValbyACO_ICC4[[#This Row],[Org ID]])/ValbyACO_ICC4[[#This Row],[2021 Member Months]])</f>
        <v>NA</v>
      </c>
      <c r="N42" s="118" t="str">
        <f>IF(ValbyACO_ICC4[[#This Row],[2021 Member Months]]=0,"NA",SUMIFS(ACOAETME2021[[#All],[TOTAL Truncated Unadjusted Claims Expenses (A19 - A17)]], ACOAETME2021[[#All],[Insurance Category Code]], $E$34, ACOAETME2021[[#All],[ACO/AE or Insurer Overall Organization ID]], ValbyACO_ICC4[[#This Row],[Org ID]])/ValbyACO_ICC4[[#This Row],[2021 Member Months]])</f>
        <v>NA</v>
      </c>
      <c r="O42" s="118" t="str">
        <f>IF(ValbyACO_ICC4[[#This Row],[2021 Member Months]]=0,"NA",SUMIFS(ACOAETME2021[[#All],[TOTAL Non-Claims Expenses]], ACOAETME2021[[#All],[Insurance Category Code]], $E$34, ACOAETME2021[[#All],[ACO/AE or Insurer Overall Organization ID]], ValbyACO_ICC4[[#This Row],[Org ID]])/ValbyACO_ICC4[[#This Row],[2021 Member Months]])</f>
        <v>NA</v>
      </c>
      <c r="P42" s="268" t="str">
        <f>IF(ValbyACO_ICC4[[#This Row],[2021 Member Months]]=0, "NA", SUMIFS(ACOAETME2021[[#All],[TOTAL Non-Truncated Unadjusted Expenses 
(A19+A21)]], ACOAETME2021[[#All],[Insurance Category Code]], $E$34, ACOAETME2021[[#All],[ACO/AE or Insurer Overall Organization ID]], ValbyACO_ICC4[[#This Row],[Org ID]])/ValbyACO_ICC4[[#This Row],[2021 Member Months]])</f>
        <v>NA</v>
      </c>
      <c r="Q42" s="119" t="str">
        <f>IF(ValbyACO_ICC4[[#This Row],[2021 Member Months]]=0, "NA", SUMIFS(ACOAETME2021[[#All],[TOTAL Truncated Unadjusted Expenses (A20+A21)]], ACOAETME2021[[#All],[Insurance Category Code]], $E$34, ACOAETME2021[[#All],[ACO/AE or Insurer Overall Organization ID]], ValbyACO_ICC4[[#This Row],[Org ID]])/ValbyACO_ICC4[[#This Row],[2021 Member Months]])</f>
        <v>NA</v>
      </c>
      <c r="R42" s="192">
        <f>SUMIFS(ACOAETME2022[[#All],[Member Months]],ACOAETME2022[[#All],[Insurance Category Code]],$E$34,ACOAETME2022[[#All],[ACO/AE or Insurer Overall Organization ID]],ValbyACO_ICC4[[#This Row],[Org ID]])</f>
        <v>0</v>
      </c>
      <c r="S42" s="118" t="str">
        <f>IF(ValbyACO_ICC4[[#This Row],[2022 Member Months]]=0,"NA",SUMIFS(ACOAETME2022[[#All],[Claims: Hospital Inpatient]],ACOAETME2022[[#All],[Insurance Category Code]],$E$34,ACOAETME2022[[#All],[ACO/AE or Insurer Overall Organization ID]],ValbyACO_ICC4[[#This Row],[Org ID]])/ValbyACO_ICC4[[#This Row],[2022 Member Months]])</f>
        <v>NA</v>
      </c>
      <c r="T42" s="118" t="str">
        <f>IF(ValbyACO_ICC4[[#This Row],[2022 Member Months]]=0,"NA",SUMIFS(ACOAETME2022[[#All],[Claims: Hospital Outpatient]],ACOAETME2022[[#All],[Insurance Category Code]],$E$34,ACOAETME2022[[#All],[ACO/AE or Insurer Overall Organization ID]],ValbyACO_ICC4[[#This Row],[Org ID]])/ValbyACO_ICC4[[#This Row],[2022 Member Months]])</f>
        <v>NA</v>
      </c>
      <c r="U42" s="118" t="str">
        <f>IF(ValbyACO_ICC4[[#This Row],[2022 Member Months]]=0,"NA",SUMIFS(ACOAETME2022[[#All],[Claims: Professional, Primary Care]],ACOAETME2022[[#All],[Insurance Category Code]],$E$34,ACOAETME2022[[#All],[ACO/AE or Insurer Overall Organization ID]],ValbyACO_ICC4[[#This Row],[Org ID]])/ValbyACO_ICC4[[#This Row],[2022 Member Months]])</f>
        <v>NA</v>
      </c>
      <c r="V42" s="118" t="str">
        <f>IF(ValbyACO_ICC4[[#This Row],[2022 Member Months]]=0,"NA",SUMIFS(ACOAETME2022[[#All],[Claims: Professional, Specialty Care]],ACOAETME2022[[#All],[Insurance Category Code]], $E$34,ACOAETME2022[[#All],[ACO/AE or Insurer Overall Organization ID]],ValbyACO_ICC4[[#This Row],[Org ID]])/ValbyACO_ICC4[[#This Row],[2022 Member Months]])</f>
        <v>NA</v>
      </c>
      <c r="W42" s="118" t="str">
        <f>IF(ValbyACO_ICC4[[#This Row],[2022 Member Months]]=0,"NA",SUMIFS(ACOAETME2022[[#All],[Claims: Professional Other]],ACOAETME2022[[#All],[Insurance Category Code]], $E$34,ACOAETME2022[[#All],[ACO/AE or Insurer Overall Organization ID]],ValbyACO_ICC4[[#This Row],[Org ID]])/ValbyACO_ICC4[[#This Row],[2022 Member Months]])</f>
        <v>NA</v>
      </c>
      <c r="X42" s="118" t="str">
        <f>IF(ValbyACO_ICC4[[#This Row],[2022 Member Months]]=0,"NA",SUMIFS(ACOAETME2022[[#All],[Claims: Pharmacy]],ACOAETME2022[[#All],[Insurance Category Code]], $E$34,ACOAETME2022[[#All],[ACO/AE or Insurer Overall Organization ID]],ValbyACO_ICC4[[#This Row],[Org ID]])/ValbyACO_ICC4[[#This Row],[2022 Member Months]])</f>
        <v>NA</v>
      </c>
      <c r="Y42" s="118" t="str">
        <f>IF(ValbyACO_ICC4[[#This Row],[2022 Member Months]]=0,"NA",SUMIFS(ACOAETME2022[[#All],[Claims: Long-Term Care]],ACOAETME2022[[#All],[Insurance Category Code]], $E$34,ACOAETME2022[[#All],[ACO/AE or Insurer Overall Organization ID]],ValbyACO_ICC4[[#This Row],[Org ID]])/ValbyACO_ICC4[[#This Row],[2022 Member Months]])</f>
        <v>NA</v>
      </c>
      <c r="Z42" s="118" t="str">
        <f>IF(ValbyACO_ICC4[[#This Row],[2022 Member Months]]=0,"NA",SUMIFS(ACOAETME2022[[#All],[Claims: Other]],ACOAETME2022[[#All],[Insurance Category Code]], $E$34,ACOAETME2022[[#All],[ACO/AE or Insurer Overall Organization ID]],ValbyACO_ICC4[[#This Row],[Org ID]])/ValbyACO_ICC4[[#This Row],[2022 Member Months]])</f>
        <v>NA</v>
      </c>
      <c r="AA42" s="118" t="str">
        <f>IF(ValbyACO_ICC4[[#This Row],[2022 Member Months]]=0,"NA",SUMIFS(ACOAETME2022[[#All],[TOTAL Non-Truncated Unadjusted Claims Expenses]],ACOAETME2022[[#All],[Insurance Category Code]], $E$34,ACOAETME2022[[#All],[ACO/AE or Insurer Overall Organization ID]],ValbyACO_ICC4[[#This Row],[Org ID]])/ValbyACO_ICC4[[#This Row],[2022 Member Months]])</f>
        <v>NA</v>
      </c>
      <c r="AB42" s="118" t="str">
        <f>IF(ValbyACO_ICC4[[#This Row],[2022 Member Months]]=0,"NA",SUMIFS(ACOAETME2022[[#All],[TOTAL Truncated Unadjusted Expenses (A20+A21)]],ACOAETME2022[[#All],[Insurance Category Code]], $E$34,ACOAETME2022[[#All],[ACO/AE or Insurer Overall Organization ID]],ValbyACO_ICC4[[#This Row],[Org ID]])/ValbyACO_ICC4[[#This Row],[2022 Member Months]])</f>
        <v>NA</v>
      </c>
      <c r="AC42" s="118" t="str">
        <f>IF(ValbyACO_ICC4[[#This Row],[2022 Member Months]]=0,"NA",SUMIFS(ACOAETME2022[[#All],[TOTAL Non-Claims Expenses]],ACOAETME2022[[#All],[Insurance Category Code]], $E$34,ACOAETME2022[[#All],[ACO/AE or Insurer Overall Organization ID]],ValbyACO_ICC4[[#This Row],[Org ID]])/ValbyACO_ICC4[[#This Row],[2022 Member Months]])</f>
        <v>NA</v>
      </c>
      <c r="AD42" s="268" t="str">
        <f>IF(ValbyACO_ICC4[[#This Row],[2022 Member Months]]=0,"NA",SUMIFS(ACOAETME2022[[#All],[TOTAL Non-Truncated Unadjusted Expenses 
(A19+A21)]],ACOAETME2022[[#All],[Insurance Category Code]], $E$34,ACOAETME2022[[#All],[ACO/AE or Insurer Overall Organization ID]],ValbyACO_ICC4[[#This Row],[Org ID]])/ValbyACO_ICC4[[#This Row],[2022 Member Months]])</f>
        <v>NA</v>
      </c>
      <c r="AE42" s="119" t="str">
        <f>IF(ValbyACO_ICC4[[#This Row],[2022 Member Months]]=0,"NA",SUMIFS(ACOAETME2022[[#All],[TOTAL Truncated Unadjusted Expenses (A20+A21)]],ACOAETME2022[[#All],[Insurance Category Code]],$E$34,ACOAETME2022[[#All],[ACO/AE or Insurer Overall Organization ID]],ValbyACO_ICC4[[#This Row],[Org ID]])/ValbyACO_ICC4[[#This Row],[2022 Member Months]])</f>
        <v>NA</v>
      </c>
      <c r="AF42" s="160" t="str">
        <f>IFERROR(IF(ValbyACO_ICC4[[#This Row],[2021 Member Months]]=0,"NA",ValbyACO_ICC4[[#This Row],[2022 Member Months]]/ValbyACO_ICC4[[#This Row],[2021 Member Months]]-1),"NA")</f>
        <v>NA</v>
      </c>
      <c r="AG42" s="161" t="str">
        <f>IFERROR(IF(ValbyACO_ICC4[[#This Row],[2021 Member Months]]=0,"NA",ValbyACO_ICC4[[#This Row],[2022 Claims: Hospital Inpatient]]/ValbyACO_ICC4[[#This Row],[2021 Claims: Hospital Inpatient]]-1),"NA")</f>
        <v>NA</v>
      </c>
      <c r="AH42" s="162" t="str">
        <f>IFERROR(IF(ValbyACO_ICC4[[#This Row],[2021 Member Months]]=0,"NA",ValbyACO_ICC4[[#This Row],[2022 Claims: Hospital Outpatient]]/ValbyACO_ICC4[[#This Row],[2021 Claims: Hospital Outpatient]]-1),"NA")</f>
        <v>NA</v>
      </c>
      <c r="AI42" s="162" t="str">
        <f>IFERROR(IF(ValbyACO_ICC4[[#This Row],[2021 Member Months]]=0,"NA",ValbyACO_ICC4[[#This Row],[2022 Claims: Professional, Primary Care]]/ValbyACO_ICC4[[#This Row],[2021 Claims: Professional, Primary Care]]-1),"NA")</f>
        <v>NA</v>
      </c>
      <c r="AJ42" s="162" t="str">
        <f>IFERROR(IF(ValbyACO_ICC4[[#This Row],[2021 Member Months]]=0,"NA",ValbyACO_ICC4[[#This Row],[2022 Claims: Professional, Specialty Care]]/ValbyACO_ICC4[[#This Row],[2021 Claims: Professional, Specialty Care]]-1),"NA")</f>
        <v>NA</v>
      </c>
      <c r="AK42" s="162" t="str">
        <f>IFERROR(IF(ValbyACO_ICC4[[#This Row],[2021 Member Months]]=0,"NA", ValbyACO_ICC4[[#This Row],[2022 Claims: Professional Other]]/ValbyACO_ICC4[[#This Row],[2021 Claims: Professional Other]]-1),"NA")</f>
        <v>NA</v>
      </c>
      <c r="AL42" s="162" t="str">
        <f>IFERROR(IF(ValbyACO_ICC4[[#This Row],[2021 Member Months]]=0,"NA",ValbyACO_ICC4[[#This Row],[2022 Claims: Pharmacy (Gross of Retail Pharmacy Rebates)]]/ValbyACO_ICC4[[#This Row],[2021 Claims: Pharmacy (Gross of  Rebates)]]-1),"NA")</f>
        <v>NA</v>
      </c>
      <c r="AM42" s="162" t="str">
        <f>IFERROR(IF(ValbyACO_ICC4[[#This Row],[2021 Member Months]]=0,"NA",ValbyACO_ICC4[[#This Row],[2022 Claims: Long-term Care]]/ValbyACO_ICC4[[#This Row],[2021 Claims: Long-term Care]]-1),"NA")</f>
        <v>NA</v>
      </c>
      <c r="AN42" s="162" t="str">
        <f>IFERROR(IF(ValbyACO_ICC4[[#This Row],[2021 Member Months]]=0,"NA",ValbyACO_ICC4[[#This Row],[2022 Claims: Other]]/ValbyACO_ICC4[[#This Row],[2021 Claims: Other]]-1),"NA")</f>
        <v>NA</v>
      </c>
      <c r="AO42" s="163" t="str">
        <f>IFERROR(IF(ValbyACO_ICC4[[#This Row],[2021 Member Months]]=0,"NA",ValbyACO_ICC4[[#This Row],[2022 TOTAL Non-Truncated Claims Expenses]]/ValbyACO_ICC4[[#This Row],[2021 TOTAL Non-Truncated Claims Expenses]]-1),"NA")</f>
        <v>NA</v>
      </c>
      <c r="AP42" s="163" t="str">
        <f>IFERROR(IF(ValbyACO_ICC4[[#This Row],[2021 Member Months]]=0,"NA",ValbyACO_ICC4[[#This Row],[2022 TOTAL Truncated Claims Expenses]]/ValbyACO_ICC4[[#This Row],[2021 TOTAL Truncated Claims Expenses]]-1),"NA")</f>
        <v>NA</v>
      </c>
      <c r="AQ42" s="163" t="str">
        <f>IFERROR(IF(ValbyACO_ICC4[[#This Row],[2021 Member Months]]=0,"NA",ValbyACO_ICC4[[#This Row],[2022 TOTAL Non-Claims Expenses]]/ValbyACO_ICC4[[#This Row],[2021 TOTAL Non-Claims Expenses]]-1),"NA")</f>
        <v>NA</v>
      </c>
      <c r="AR42" s="163" t="str">
        <f>IFERROR(IF(ValbyACO_ICC4[[#This Row],[2021 Member Months]]=0,"NA",ValbyACO_ICC4[[#This Row],[2022 TOTAL Non-Truncated Total Expenses]]/ValbyACO_ICC4[[#This Row],[2021 TOTAL Non-Truncated Total Expenses]]-1),"NA")</f>
        <v>NA</v>
      </c>
      <c r="AS42" s="164" t="str">
        <f>IFERROR(IF(ValbyACO_ICC4[[#This Row],[2021 Member Months]]=0,"NA",ValbyACO_ICC4[[#This Row],[2022 TOTAL Truncated Total Expenses]]/ValbyACO_ICC4[[#This Row],[2021 TOTAL Truncated Total Expenses]]-1),"NA")</f>
        <v>NA</v>
      </c>
    </row>
    <row r="43" spans="1:45" x14ac:dyDescent="0.35">
      <c r="A43" s="129"/>
      <c r="B43" s="250">
        <v>108</v>
      </c>
      <c r="C43" s="131" t="s">
        <v>508</v>
      </c>
      <c r="D43" s="272">
        <f>SUMIFS(ACOAETME2021[[#All],[Member Months]], ACOAETME2021[[#All],[Insurance Category Code]], $E$34, ACOAETME2021[[#All],[ACO/AE or Insurer Overall Organization ID]], ValbyACO_ICC4[[#This Row],[Org ID]])</f>
        <v>0</v>
      </c>
      <c r="E43" s="268" t="str">
        <f>IFERROR(IF(ValbyACO_ICC4[[#This Row],[2021 Member Months]]=0,"NA",SUMIFS(ACOAETME2021[[#All],[Claims: Hospital Inpatient]], ACOAETME2021[[#All],[Insurance Category Code]], $E$34, ACOAETME2021[[#All],[ACO/AE or Insurer Overall Organization ID]], ValbyACO_ICC4[[#This Row],[Org ID]])/ValbyACO_ICC4[[#This Row],[2021 Member Months]]), "NA")</f>
        <v>NA</v>
      </c>
      <c r="F43" s="418" t="str">
        <f>IFERROR(IF(ValbyACO_ICC4[[#This Row],[2021 Member Months]]=0,"NA",SUMIFS(ACOAETME2021[[#All],[Claims: Hospital Outpatient]], ACOAETME2021[[#All],[Insurance Category Code]], $E$34, ACOAETME2021[[#All],[ACO/AE or Insurer Overall Organization ID]], ValbyACO_ICC4[[#This Row],[Org ID]])/ValbyACO_ICC4[[#This Row],[2021 Member Months]]), "NA")</f>
        <v>NA</v>
      </c>
      <c r="G43" s="268" t="str">
        <f>IFERROR(IF(ValbyACO_ICC4[[#This Row],[2021 Member Months]]=0,"NA",SUMIFS(ACOAETME2021[[#All],[Claims: Professional, Primary Care]], ACOAETME2021[[#All],[Insurance Category Code]], $E$34, ACOAETME2021[[#All],[ACO/AE or Insurer Overall Organization ID]], ValbyACO_ICC4[[#This Row],[Org ID]])/ValbyACO_ICC4[[#This Row],[2021 Member Months]]), "NA")</f>
        <v>NA</v>
      </c>
      <c r="H43" s="268" t="str">
        <f>IFERROR(IF(ValbyACO_ICC4[[#This Row],[2021 Member Months]]=0,"NA",SUMIFS(ACOAETME2021[[#All],[Claims: Professional, Specialty Care]], ACOAETME2021[[#All],[Insurance Category Code]], $E$34, ACOAETME2021[[#All],[ACO/AE or Insurer Overall Organization ID]], ValbyACO_ICC4[[#This Row],[Org ID]])/ValbyACO_ICC4[[#This Row],[2021 Member Months]]), "NA")</f>
        <v>NA</v>
      </c>
      <c r="I43" s="268" t="str">
        <f>IFERROR(IF(ValbyACO_ICC4[[#This Row],[2021 Member Months]]=0,"NA",SUMIFS(ACOAETME2021[[#All],[Claims: Professional Other]], ACOAETME2021[[#All],[Insurance Category Code]], $E$34, ACOAETME2021[[#All],[ACO/AE or Insurer Overall Organization ID]], ValbyACO_ICC4[[#This Row],[Org ID]])/ValbyACO_ICC4[[#This Row],[2021 Member Months]]), "NA")</f>
        <v>NA</v>
      </c>
      <c r="J43" s="268" t="str">
        <f>IFERROR(IF(ValbyACO_ICC4[[#This Row],[2021 Member Months]]=0,"NA",SUMIFS(ACOAETME2021[[#All],[Claims: Pharmacy]], ACOAETME2021[[#All],[Insurance Category Code]], $E$34, ACOAETME2021[[#All],[ACO/AE or Insurer Overall Organization ID]], ValbyACO_ICC4[[#This Row],[Org ID]])/ValbyACO_ICC4[[#This Row],[2021 Member Months]]), "NA")</f>
        <v>NA</v>
      </c>
      <c r="K43" s="268" t="str">
        <f>IFERROR(IF(ValbyACO_ICC4[[#This Row],[2021 Member Months]]=0,"NA",SUMIFS(ACOAETME2021[[#All],[Claims: Long-Term Care]], ACOAETME2021[[#All],[Insurance Category Code]], $E$34, ACOAETME2021[[#All],[ACO/AE or Insurer Overall Organization ID]], ValbyACO_ICC4[[#This Row],[Org ID]])/ValbyACO_ICC4[[#This Row],[2021 Member Months]]), "NA")</f>
        <v>NA</v>
      </c>
      <c r="L43" s="268" t="str">
        <f>IFERROR(IF(ValbyACO_ICC4[[#This Row],[2021 Member Months]]=0,"NA",SUMIFS(ACOAETME2021[[#All],[Claims: Other]], ACOAETME2021[[#All],[Insurance Category Code]], $E$34, ACOAETME2021[[#All],[ACO/AE or Insurer Overall Organization ID]], ValbyACO_ICC4[[#This Row],[Org ID]])/ValbyACO_ICC4[[#This Row],[2021 Member Months]]), "NA")</f>
        <v>NA</v>
      </c>
      <c r="M43" s="118" t="str">
        <f>IF(ValbyACO_ICC4[[#This Row],[2021 Member Months]]=0,"NA",SUMIFS(ACOAETME2021[[#All],[TOTAL Non-Truncated Unadjusted Claims Expenses]], ACOAETME2021[[#All],[Insurance Category Code]], $E$34, ACOAETME2021[[#All],[ACO/AE or Insurer Overall Organization ID]], ValbyACO_ICC4[[#This Row],[Org ID]])/ValbyACO_ICC4[[#This Row],[2021 Member Months]])</f>
        <v>NA</v>
      </c>
      <c r="N43" s="118" t="str">
        <f>IF(ValbyACO_ICC4[[#This Row],[2021 Member Months]]=0,"NA",SUMIFS(ACOAETME2021[[#All],[TOTAL Truncated Unadjusted Claims Expenses (A19 - A17)]], ACOAETME2021[[#All],[Insurance Category Code]], $E$34, ACOAETME2021[[#All],[ACO/AE or Insurer Overall Organization ID]], ValbyACO_ICC4[[#This Row],[Org ID]])/ValbyACO_ICC4[[#This Row],[2021 Member Months]])</f>
        <v>NA</v>
      </c>
      <c r="O43" s="118" t="str">
        <f>IF(ValbyACO_ICC4[[#This Row],[2021 Member Months]]=0,"NA",SUMIFS(ACOAETME2021[[#All],[TOTAL Non-Claims Expenses]], ACOAETME2021[[#All],[Insurance Category Code]], $E$34, ACOAETME2021[[#All],[ACO/AE or Insurer Overall Organization ID]], ValbyACO_ICC4[[#This Row],[Org ID]])/ValbyACO_ICC4[[#This Row],[2021 Member Months]])</f>
        <v>NA</v>
      </c>
      <c r="P43" s="268" t="str">
        <f>IF(ValbyACO_ICC4[[#This Row],[2021 Member Months]]=0, "NA", SUMIFS(ACOAETME2021[[#All],[TOTAL Non-Truncated Unadjusted Expenses 
(A19+A21)]], ACOAETME2021[[#All],[Insurance Category Code]], $E$34, ACOAETME2021[[#All],[ACO/AE or Insurer Overall Organization ID]], ValbyACO_ICC4[[#This Row],[Org ID]])/ValbyACO_ICC4[[#This Row],[2021 Member Months]])</f>
        <v>NA</v>
      </c>
      <c r="Q43" s="119" t="str">
        <f>IF(ValbyACO_ICC4[[#This Row],[2021 Member Months]]=0, "NA", SUMIFS(ACOAETME2021[[#All],[TOTAL Truncated Unadjusted Expenses (A20+A21)]], ACOAETME2021[[#All],[Insurance Category Code]], $E$34, ACOAETME2021[[#All],[ACO/AE or Insurer Overall Organization ID]], ValbyACO_ICC4[[#This Row],[Org ID]])/ValbyACO_ICC4[[#This Row],[2021 Member Months]])</f>
        <v>NA</v>
      </c>
      <c r="R43" s="192">
        <f>SUMIFS(ACOAETME2022[[#All],[Member Months]],ACOAETME2022[[#All],[Insurance Category Code]],$E$34,ACOAETME2022[[#All],[ACO/AE or Insurer Overall Organization ID]],ValbyACO_ICC4[[#This Row],[Org ID]])</f>
        <v>0</v>
      </c>
      <c r="S43" s="118" t="str">
        <f>IF(ValbyACO_ICC4[[#This Row],[2022 Member Months]]=0,"NA",SUMIFS(ACOAETME2022[[#All],[Claims: Hospital Inpatient]],ACOAETME2022[[#All],[Insurance Category Code]],$E$34,ACOAETME2022[[#All],[ACO/AE or Insurer Overall Organization ID]],ValbyACO_ICC4[[#This Row],[Org ID]])/ValbyACO_ICC4[[#This Row],[2022 Member Months]])</f>
        <v>NA</v>
      </c>
      <c r="T43" s="118" t="str">
        <f>IF(ValbyACO_ICC4[[#This Row],[2022 Member Months]]=0,"NA",SUMIFS(ACOAETME2022[[#All],[Claims: Hospital Outpatient]],ACOAETME2022[[#All],[Insurance Category Code]],$E$34,ACOAETME2022[[#All],[ACO/AE or Insurer Overall Organization ID]],ValbyACO_ICC4[[#This Row],[Org ID]])/ValbyACO_ICC4[[#This Row],[2022 Member Months]])</f>
        <v>NA</v>
      </c>
      <c r="U43" s="118" t="str">
        <f>IF(ValbyACO_ICC4[[#This Row],[2022 Member Months]]=0,"NA",SUMIFS(ACOAETME2022[[#All],[Claims: Professional, Primary Care]],ACOAETME2022[[#All],[Insurance Category Code]],$E$34,ACOAETME2022[[#All],[ACO/AE or Insurer Overall Organization ID]],ValbyACO_ICC4[[#This Row],[Org ID]])/ValbyACO_ICC4[[#This Row],[2022 Member Months]])</f>
        <v>NA</v>
      </c>
      <c r="V43" s="118" t="str">
        <f>IF(ValbyACO_ICC4[[#This Row],[2022 Member Months]]=0,"NA",SUMIFS(ACOAETME2022[[#All],[Claims: Professional, Specialty Care]],ACOAETME2022[[#All],[Insurance Category Code]], $E$34,ACOAETME2022[[#All],[ACO/AE or Insurer Overall Organization ID]],ValbyACO_ICC4[[#This Row],[Org ID]])/ValbyACO_ICC4[[#This Row],[2022 Member Months]])</f>
        <v>NA</v>
      </c>
      <c r="W43" s="118" t="str">
        <f>IF(ValbyACO_ICC4[[#This Row],[2022 Member Months]]=0,"NA",SUMIFS(ACOAETME2022[[#All],[Claims: Professional Other]],ACOAETME2022[[#All],[Insurance Category Code]], $E$34,ACOAETME2022[[#All],[ACO/AE or Insurer Overall Organization ID]],ValbyACO_ICC4[[#This Row],[Org ID]])/ValbyACO_ICC4[[#This Row],[2022 Member Months]])</f>
        <v>NA</v>
      </c>
      <c r="X43" s="118" t="str">
        <f>IF(ValbyACO_ICC4[[#This Row],[2022 Member Months]]=0,"NA",SUMIFS(ACOAETME2022[[#All],[Claims: Pharmacy]],ACOAETME2022[[#All],[Insurance Category Code]], $E$34,ACOAETME2022[[#All],[ACO/AE or Insurer Overall Organization ID]],ValbyACO_ICC4[[#This Row],[Org ID]])/ValbyACO_ICC4[[#This Row],[2022 Member Months]])</f>
        <v>NA</v>
      </c>
      <c r="Y43" s="118" t="str">
        <f>IF(ValbyACO_ICC4[[#This Row],[2022 Member Months]]=0,"NA",SUMIFS(ACOAETME2022[[#All],[Claims: Long-Term Care]],ACOAETME2022[[#All],[Insurance Category Code]], $E$34,ACOAETME2022[[#All],[ACO/AE or Insurer Overall Organization ID]],ValbyACO_ICC4[[#This Row],[Org ID]])/ValbyACO_ICC4[[#This Row],[2022 Member Months]])</f>
        <v>NA</v>
      </c>
      <c r="Z43" s="118" t="str">
        <f>IF(ValbyACO_ICC4[[#This Row],[2022 Member Months]]=0,"NA",SUMIFS(ACOAETME2022[[#All],[Claims: Other]],ACOAETME2022[[#All],[Insurance Category Code]], $E$34,ACOAETME2022[[#All],[ACO/AE or Insurer Overall Organization ID]],ValbyACO_ICC4[[#This Row],[Org ID]])/ValbyACO_ICC4[[#This Row],[2022 Member Months]])</f>
        <v>NA</v>
      </c>
      <c r="AA43" s="118" t="str">
        <f>IF(ValbyACO_ICC4[[#This Row],[2022 Member Months]]=0,"NA",SUMIFS(ACOAETME2022[[#All],[TOTAL Non-Truncated Unadjusted Claims Expenses]],ACOAETME2022[[#All],[Insurance Category Code]], $E$34,ACOAETME2022[[#All],[ACO/AE or Insurer Overall Organization ID]],ValbyACO_ICC4[[#This Row],[Org ID]])/ValbyACO_ICC4[[#This Row],[2022 Member Months]])</f>
        <v>NA</v>
      </c>
      <c r="AB43" s="118" t="str">
        <f>IF(ValbyACO_ICC4[[#This Row],[2022 Member Months]]=0,"NA",SUMIFS(ACOAETME2022[[#All],[TOTAL Truncated Unadjusted Expenses (A20+A21)]],ACOAETME2022[[#All],[Insurance Category Code]], $E$34,ACOAETME2022[[#All],[ACO/AE or Insurer Overall Organization ID]],ValbyACO_ICC4[[#This Row],[Org ID]])/ValbyACO_ICC4[[#This Row],[2022 Member Months]])</f>
        <v>NA</v>
      </c>
      <c r="AC43" s="118" t="str">
        <f>IF(ValbyACO_ICC4[[#This Row],[2022 Member Months]]=0,"NA",SUMIFS(ACOAETME2022[[#All],[TOTAL Non-Claims Expenses]],ACOAETME2022[[#All],[Insurance Category Code]], $E$34,ACOAETME2022[[#All],[ACO/AE or Insurer Overall Organization ID]],ValbyACO_ICC4[[#This Row],[Org ID]])/ValbyACO_ICC4[[#This Row],[2022 Member Months]])</f>
        <v>NA</v>
      </c>
      <c r="AD43" s="268" t="str">
        <f>IF(ValbyACO_ICC4[[#This Row],[2022 Member Months]]=0,"NA",SUMIFS(ACOAETME2022[[#All],[TOTAL Non-Truncated Unadjusted Expenses 
(A19+A21)]],ACOAETME2022[[#All],[Insurance Category Code]], $E$34,ACOAETME2022[[#All],[ACO/AE or Insurer Overall Organization ID]],ValbyACO_ICC4[[#This Row],[Org ID]])/ValbyACO_ICC4[[#This Row],[2022 Member Months]])</f>
        <v>NA</v>
      </c>
      <c r="AE43" s="119" t="str">
        <f>IF(ValbyACO_ICC4[[#This Row],[2022 Member Months]]=0,"NA",SUMIFS(ACOAETME2022[[#All],[TOTAL Truncated Unadjusted Expenses (A20+A21)]],ACOAETME2022[[#All],[Insurance Category Code]],$E$34,ACOAETME2022[[#All],[ACO/AE or Insurer Overall Organization ID]],ValbyACO_ICC4[[#This Row],[Org ID]])/ValbyACO_ICC4[[#This Row],[2022 Member Months]])</f>
        <v>NA</v>
      </c>
      <c r="AF43" s="160" t="str">
        <f>IFERROR(IF(ValbyACO_ICC4[[#This Row],[2021 Member Months]]=0,"NA",ValbyACO_ICC4[[#This Row],[2022 Member Months]]/ValbyACO_ICC4[[#This Row],[2021 Member Months]]-1),"NA")</f>
        <v>NA</v>
      </c>
      <c r="AG43" s="161" t="str">
        <f>IFERROR(IF(ValbyACO_ICC4[[#This Row],[2021 Member Months]]=0,"NA",ValbyACO_ICC4[[#This Row],[2022 Claims: Hospital Inpatient]]/ValbyACO_ICC4[[#This Row],[2021 Claims: Hospital Inpatient]]-1),"NA")</f>
        <v>NA</v>
      </c>
      <c r="AH43" s="162" t="str">
        <f>IFERROR(IF(ValbyACO_ICC4[[#This Row],[2021 Member Months]]=0,"NA",ValbyACO_ICC4[[#This Row],[2022 Claims: Hospital Outpatient]]/ValbyACO_ICC4[[#This Row],[2021 Claims: Hospital Outpatient]]-1),"NA")</f>
        <v>NA</v>
      </c>
      <c r="AI43" s="162" t="str">
        <f>IFERROR(IF(ValbyACO_ICC4[[#This Row],[2021 Member Months]]=0,"NA",ValbyACO_ICC4[[#This Row],[2022 Claims: Professional, Primary Care]]/ValbyACO_ICC4[[#This Row],[2021 Claims: Professional, Primary Care]]-1),"NA")</f>
        <v>NA</v>
      </c>
      <c r="AJ43" s="162" t="str">
        <f>IFERROR(IF(ValbyACO_ICC4[[#This Row],[2021 Member Months]]=0,"NA",ValbyACO_ICC4[[#This Row],[2022 Claims: Professional, Specialty Care]]/ValbyACO_ICC4[[#This Row],[2021 Claims: Professional, Specialty Care]]-1),"NA")</f>
        <v>NA</v>
      </c>
      <c r="AK43" s="162" t="str">
        <f>IFERROR(IF(ValbyACO_ICC4[[#This Row],[2021 Member Months]]=0,"NA", ValbyACO_ICC4[[#This Row],[2022 Claims: Professional Other]]/ValbyACO_ICC4[[#This Row],[2021 Claims: Professional Other]]-1),"NA")</f>
        <v>NA</v>
      </c>
      <c r="AL43" s="162" t="str">
        <f>IFERROR(IF(ValbyACO_ICC4[[#This Row],[2021 Member Months]]=0,"NA",ValbyACO_ICC4[[#This Row],[2022 Claims: Pharmacy (Gross of Retail Pharmacy Rebates)]]/ValbyACO_ICC4[[#This Row],[2021 Claims: Pharmacy (Gross of  Rebates)]]-1),"NA")</f>
        <v>NA</v>
      </c>
      <c r="AM43" s="162" t="str">
        <f>IFERROR(IF(ValbyACO_ICC4[[#This Row],[2021 Member Months]]=0,"NA",ValbyACO_ICC4[[#This Row],[2022 Claims: Long-term Care]]/ValbyACO_ICC4[[#This Row],[2021 Claims: Long-term Care]]-1),"NA")</f>
        <v>NA</v>
      </c>
      <c r="AN43" s="162" t="str">
        <f>IFERROR(IF(ValbyACO_ICC4[[#This Row],[2021 Member Months]]=0,"NA",ValbyACO_ICC4[[#This Row],[2022 Claims: Other]]/ValbyACO_ICC4[[#This Row],[2021 Claims: Other]]-1),"NA")</f>
        <v>NA</v>
      </c>
      <c r="AO43" s="163" t="str">
        <f>IFERROR(IF(ValbyACO_ICC4[[#This Row],[2021 Member Months]]=0,"NA",ValbyACO_ICC4[[#This Row],[2022 TOTAL Non-Truncated Claims Expenses]]/ValbyACO_ICC4[[#This Row],[2021 TOTAL Non-Truncated Claims Expenses]]-1),"NA")</f>
        <v>NA</v>
      </c>
      <c r="AP43" s="163" t="str">
        <f>IFERROR(IF(ValbyACO_ICC4[[#This Row],[2021 Member Months]]=0,"NA",ValbyACO_ICC4[[#This Row],[2022 TOTAL Truncated Claims Expenses]]/ValbyACO_ICC4[[#This Row],[2021 TOTAL Truncated Claims Expenses]]-1),"NA")</f>
        <v>NA</v>
      </c>
      <c r="AQ43" s="163" t="str">
        <f>IFERROR(IF(ValbyACO_ICC4[[#This Row],[2021 Member Months]]=0,"NA",ValbyACO_ICC4[[#This Row],[2022 TOTAL Non-Claims Expenses]]/ValbyACO_ICC4[[#This Row],[2021 TOTAL Non-Claims Expenses]]-1),"NA")</f>
        <v>NA</v>
      </c>
      <c r="AR43" s="163" t="str">
        <f>IFERROR(IF(ValbyACO_ICC4[[#This Row],[2021 Member Months]]=0,"NA",ValbyACO_ICC4[[#This Row],[2022 TOTAL Non-Truncated Total Expenses]]/ValbyACO_ICC4[[#This Row],[2021 TOTAL Non-Truncated Total Expenses]]-1),"NA")</f>
        <v>NA</v>
      </c>
      <c r="AS43" s="164" t="str">
        <f>IFERROR(IF(ValbyACO_ICC4[[#This Row],[2021 Member Months]]=0,"NA",ValbyACO_ICC4[[#This Row],[2022 TOTAL Truncated Total Expenses]]/ValbyACO_ICC4[[#This Row],[2021 TOTAL Truncated Total Expenses]]-1),"NA")</f>
        <v>NA</v>
      </c>
    </row>
    <row r="44" spans="1:45" x14ac:dyDescent="0.35">
      <c r="A44" s="129"/>
      <c r="B44" s="250">
        <v>999</v>
      </c>
      <c r="C44" s="131" t="s">
        <v>172</v>
      </c>
      <c r="D44" s="272">
        <f>SUMIFS(ACOAETME2021[[#All],[Member Months]], ACOAETME2021[[#All],[Insurance Category Code]], $E$34, ACOAETME2021[[#All],[ACO/AE or Insurer Overall Organization ID]], ValbyACO_ICC4[[#This Row],[Org ID]])</f>
        <v>0</v>
      </c>
      <c r="E44" s="268" t="str">
        <f>IFERROR(IF(ValbyACO_ICC4[[#This Row],[2021 Member Months]]=0,"NA",SUMIFS(ACOAETME2021[[#All],[Claims: Hospital Inpatient]], ACOAETME2021[[#All],[Insurance Category Code]], $E$34, ACOAETME2021[[#All],[ACO/AE or Insurer Overall Organization ID]], ValbyACO_ICC4[[#This Row],[Org ID]])/ValbyACO_ICC4[[#This Row],[2021 Member Months]]), "NA")</f>
        <v>NA</v>
      </c>
      <c r="F44" s="418" t="str">
        <f>IFERROR(IF(ValbyACO_ICC4[[#This Row],[2021 Member Months]]=0,"NA",SUMIFS(ACOAETME2021[[#All],[Claims: Hospital Outpatient]], ACOAETME2021[[#All],[Insurance Category Code]], $E$34, ACOAETME2021[[#All],[ACO/AE or Insurer Overall Organization ID]], ValbyACO_ICC4[[#This Row],[Org ID]])/ValbyACO_ICC4[[#This Row],[2021 Member Months]]), "NA")</f>
        <v>NA</v>
      </c>
      <c r="G44" s="268" t="str">
        <f>IFERROR(IF(ValbyACO_ICC4[[#This Row],[2021 Member Months]]=0,"NA",SUMIFS(ACOAETME2021[[#All],[Claims: Professional, Primary Care]], ACOAETME2021[[#All],[Insurance Category Code]], $E$34, ACOAETME2021[[#All],[ACO/AE or Insurer Overall Organization ID]], ValbyACO_ICC4[[#This Row],[Org ID]])/ValbyACO_ICC4[[#This Row],[2021 Member Months]]), "NA")</f>
        <v>NA</v>
      </c>
      <c r="H44" s="268" t="str">
        <f>IFERROR(IF(ValbyACO_ICC4[[#This Row],[2021 Member Months]]=0,"NA",SUMIFS(ACOAETME2021[[#All],[Claims: Professional, Specialty Care]], ACOAETME2021[[#All],[Insurance Category Code]], $E$34, ACOAETME2021[[#All],[ACO/AE or Insurer Overall Organization ID]], ValbyACO_ICC4[[#This Row],[Org ID]])/ValbyACO_ICC4[[#This Row],[2021 Member Months]]), "NA")</f>
        <v>NA</v>
      </c>
      <c r="I44" s="268" t="str">
        <f>IFERROR(IF(ValbyACO_ICC4[[#This Row],[2021 Member Months]]=0,"NA",SUMIFS(ACOAETME2021[[#All],[Claims: Professional Other]], ACOAETME2021[[#All],[Insurance Category Code]], $E$34, ACOAETME2021[[#All],[ACO/AE or Insurer Overall Organization ID]], ValbyACO_ICC4[[#This Row],[Org ID]])/ValbyACO_ICC4[[#This Row],[2021 Member Months]]), "NA")</f>
        <v>NA</v>
      </c>
      <c r="J44" s="268" t="str">
        <f>IFERROR(IF(ValbyACO_ICC4[[#This Row],[2021 Member Months]]=0,"NA",SUMIFS(ACOAETME2021[[#All],[Claims: Pharmacy]], ACOAETME2021[[#All],[Insurance Category Code]], $E$34, ACOAETME2021[[#All],[ACO/AE or Insurer Overall Organization ID]], ValbyACO_ICC4[[#This Row],[Org ID]])/ValbyACO_ICC4[[#This Row],[2021 Member Months]]), "NA")</f>
        <v>NA</v>
      </c>
      <c r="K44" s="268" t="str">
        <f>IFERROR(IF(ValbyACO_ICC4[[#This Row],[2021 Member Months]]=0,"NA",SUMIFS(ACOAETME2021[[#All],[Claims: Long-Term Care]], ACOAETME2021[[#All],[Insurance Category Code]], $E$34, ACOAETME2021[[#All],[ACO/AE or Insurer Overall Organization ID]], ValbyACO_ICC4[[#This Row],[Org ID]])/ValbyACO_ICC4[[#This Row],[2021 Member Months]]), "NA")</f>
        <v>NA</v>
      </c>
      <c r="L44" s="268" t="str">
        <f>IFERROR(IF(ValbyACO_ICC4[[#This Row],[2021 Member Months]]=0,"NA",SUMIFS(ACOAETME2021[[#All],[Claims: Other]], ACOAETME2021[[#All],[Insurance Category Code]], $E$34, ACOAETME2021[[#All],[ACO/AE or Insurer Overall Organization ID]], ValbyACO_ICC4[[#This Row],[Org ID]])/ValbyACO_ICC4[[#This Row],[2021 Member Months]]), "NA")</f>
        <v>NA</v>
      </c>
      <c r="M44" s="118" t="str">
        <f>IF(ValbyACO_ICC4[[#This Row],[2021 Member Months]]=0,"NA",SUMIFS(ACOAETME2021[[#All],[TOTAL Non-Truncated Unadjusted Claims Expenses]], ACOAETME2021[[#All],[Insurance Category Code]], $E$34, ACOAETME2021[[#All],[ACO/AE or Insurer Overall Organization ID]], ValbyACO_ICC4[[#This Row],[Org ID]])/ValbyACO_ICC4[[#This Row],[2021 Member Months]])</f>
        <v>NA</v>
      </c>
      <c r="N44" s="118" t="str">
        <f>IF(ValbyACO_ICC4[[#This Row],[2021 Member Months]]=0,"NA",SUMIFS(ACOAETME2021[[#All],[TOTAL Truncated Unadjusted Claims Expenses (A19 - A17)]], ACOAETME2021[[#All],[Insurance Category Code]], $E$34, ACOAETME2021[[#All],[ACO/AE or Insurer Overall Organization ID]], ValbyACO_ICC4[[#This Row],[Org ID]])/ValbyACO_ICC4[[#This Row],[2021 Member Months]])</f>
        <v>NA</v>
      </c>
      <c r="O44" s="118" t="str">
        <f>IF(ValbyACO_ICC4[[#This Row],[2021 Member Months]]=0,"NA",SUMIFS(ACOAETME2021[[#All],[TOTAL Non-Claims Expenses]], ACOAETME2021[[#All],[Insurance Category Code]], $E$34, ACOAETME2021[[#All],[ACO/AE or Insurer Overall Organization ID]], ValbyACO_ICC4[[#This Row],[Org ID]])/ValbyACO_ICC4[[#This Row],[2021 Member Months]])</f>
        <v>NA</v>
      </c>
      <c r="P44" s="268" t="str">
        <f>IF(ValbyACO_ICC4[[#This Row],[2021 Member Months]]=0, "NA", SUMIFS(ACOAETME2021[[#All],[TOTAL Non-Truncated Unadjusted Expenses 
(A19+A21)]], ACOAETME2021[[#All],[Insurance Category Code]], $E$34, ACOAETME2021[[#All],[ACO/AE or Insurer Overall Organization ID]], ValbyACO_ICC4[[#This Row],[Org ID]])/ValbyACO_ICC4[[#This Row],[2021 Member Months]])</f>
        <v>NA</v>
      </c>
      <c r="Q44" s="119" t="str">
        <f>IF(ValbyACO_ICC4[[#This Row],[2021 Member Months]]=0, "NA", SUMIFS(ACOAETME2021[[#All],[TOTAL Truncated Unadjusted Expenses (A20+A21)]], ACOAETME2021[[#All],[Insurance Category Code]], $E$34, ACOAETME2021[[#All],[ACO/AE or Insurer Overall Organization ID]], ValbyACO_ICC4[[#This Row],[Org ID]])/ValbyACO_ICC4[[#This Row],[2021 Member Months]])</f>
        <v>NA</v>
      </c>
      <c r="R44" s="192">
        <f>SUMIFS(ACOAETME2022[[#All],[Member Months]],ACOAETME2022[[#All],[Insurance Category Code]],$E$34,ACOAETME2022[[#All],[ACO/AE or Insurer Overall Organization ID]],ValbyACO_ICC4[[#This Row],[Org ID]])</f>
        <v>0</v>
      </c>
      <c r="S44" s="118" t="str">
        <f>IF(ValbyACO_ICC4[[#This Row],[2022 Member Months]]=0,"NA",SUMIFS(ACOAETME2022[[#All],[Claims: Hospital Inpatient]],ACOAETME2022[[#All],[Insurance Category Code]],$E$34,ACOAETME2022[[#All],[ACO/AE or Insurer Overall Organization ID]],ValbyACO_ICC4[[#This Row],[Org ID]])/ValbyACO_ICC4[[#This Row],[2022 Member Months]])</f>
        <v>NA</v>
      </c>
      <c r="T44" s="118" t="str">
        <f>IF(ValbyACO_ICC4[[#This Row],[2022 Member Months]]=0,"NA",SUMIFS(ACOAETME2022[[#All],[Claims: Hospital Outpatient]],ACOAETME2022[[#All],[Insurance Category Code]],$E$34,ACOAETME2022[[#All],[ACO/AE or Insurer Overall Organization ID]],ValbyACO_ICC4[[#This Row],[Org ID]])/ValbyACO_ICC4[[#This Row],[2022 Member Months]])</f>
        <v>NA</v>
      </c>
      <c r="U44" s="118" t="str">
        <f>IF(ValbyACO_ICC4[[#This Row],[2022 Member Months]]=0,"NA",SUMIFS(ACOAETME2022[[#All],[Claims: Professional, Primary Care]],ACOAETME2022[[#All],[Insurance Category Code]],$E$34,ACOAETME2022[[#All],[ACO/AE or Insurer Overall Organization ID]],ValbyACO_ICC4[[#This Row],[Org ID]])/ValbyACO_ICC4[[#This Row],[2022 Member Months]])</f>
        <v>NA</v>
      </c>
      <c r="V44" s="118" t="str">
        <f>IF(ValbyACO_ICC4[[#This Row],[2022 Member Months]]=0,"NA",SUMIFS(ACOAETME2022[[#All],[Claims: Professional, Specialty Care]],ACOAETME2022[[#All],[Insurance Category Code]], $E$34,ACOAETME2022[[#All],[ACO/AE or Insurer Overall Organization ID]],ValbyACO_ICC4[[#This Row],[Org ID]])/ValbyACO_ICC4[[#This Row],[2022 Member Months]])</f>
        <v>NA</v>
      </c>
      <c r="W44" s="118" t="str">
        <f>IF(ValbyACO_ICC4[[#This Row],[2022 Member Months]]=0,"NA",SUMIFS(ACOAETME2022[[#All],[Claims: Professional Other]],ACOAETME2022[[#All],[Insurance Category Code]], $E$34,ACOAETME2022[[#All],[ACO/AE or Insurer Overall Organization ID]],ValbyACO_ICC4[[#This Row],[Org ID]])/ValbyACO_ICC4[[#This Row],[2022 Member Months]])</f>
        <v>NA</v>
      </c>
      <c r="X44" s="118" t="str">
        <f>IF(ValbyACO_ICC4[[#This Row],[2022 Member Months]]=0,"NA",SUMIFS(ACOAETME2022[[#All],[Claims: Pharmacy]],ACOAETME2022[[#All],[Insurance Category Code]], $E$34,ACOAETME2022[[#All],[ACO/AE or Insurer Overall Organization ID]],ValbyACO_ICC4[[#This Row],[Org ID]])/ValbyACO_ICC4[[#This Row],[2022 Member Months]])</f>
        <v>NA</v>
      </c>
      <c r="Y44" s="118" t="str">
        <f>IF(ValbyACO_ICC4[[#This Row],[2022 Member Months]]=0,"NA",SUMIFS(ACOAETME2022[[#All],[Claims: Long-Term Care]],ACOAETME2022[[#All],[Insurance Category Code]], $E$34,ACOAETME2022[[#All],[ACO/AE or Insurer Overall Organization ID]],ValbyACO_ICC4[[#This Row],[Org ID]])/ValbyACO_ICC4[[#This Row],[2022 Member Months]])</f>
        <v>NA</v>
      </c>
      <c r="Z44" s="118" t="str">
        <f>IF(ValbyACO_ICC4[[#This Row],[2022 Member Months]]=0,"NA",SUMIFS(ACOAETME2022[[#All],[Claims: Other]],ACOAETME2022[[#All],[Insurance Category Code]], $E$34,ACOAETME2022[[#All],[ACO/AE or Insurer Overall Organization ID]],ValbyACO_ICC4[[#This Row],[Org ID]])/ValbyACO_ICC4[[#This Row],[2022 Member Months]])</f>
        <v>NA</v>
      </c>
      <c r="AA44" s="118" t="str">
        <f>IF(ValbyACO_ICC4[[#This Row],[2022 Member Months]]=0,"NA",SUMIFS(ACOAETME2022[[#All],[TOTAL Non-Truncated Unadjusted Claims Expenses]],ACOAETME2022[[#All],[Insurance Category Code]], $E$34,ACOAETME2022[[#All],[ACO/AE or Insurer Overall Organization ID]],ValbyACO_ICC4[[#This Row],[Org ID]])/ValbyACO_ICC4[[#This Row],[2022 Member Months]])</f>
        <v>NA</v>
      </c>
      <c r="AB44" s="118" t="str">
        <f>IF(ValbyACO_ICC4[[#This Row],[2022 Member Months]]=0,"NA",SUMIFS(ACOAETME2022[[#All],[TOTAL Truncated Unadjusted Expenses (A20+A21)]],ACOAETME2022[[#All],[Insurance Category Code]], $E$34,ACOAETME2022[[#All],[ACO/AE or Insurer Overall Organization ID]],ValbyACO_ICC4[[#This Row],[Org ID]])/ValbyACO_ICC4[[#This Row],[2022 Member Months]])</f>
        <v>NA</v>
      </c>
      <c r="AC44" s="118" t="str">
        <f>IF(ValbyACO_ICC4[[#This Row],[2022 Member Months]]=0,"NA",SUMIFS(ACOAETME2022[[#All],[TOTAL Non-Claims Expenses]],ACOAETME2022[[#All],[Insurance Category Code]], $E$34,ACOAETME2022[[#All],[ACO/AE or Insurer Overall Organization ID]],ValbyACO_ICC4[[#This Row],[Org ID]])/ValbyACO_ICC4[[#This Row],[2022 Member Months]])</f>
        <v>NA</v>
      </c>
      <c r="AD44" s="268" t="str">
        <f>IF(ValbyACO_ICC4[[#This Row],[2022 Member Months]]=0,"NA",SUMIFS(ACOAETME2022[[#All],[TOTAL Non-Truncated Unadjusted Expenses 
(A19+A21)]],ACOAETME2022[[#All],[Insurance Category Code]], $E$34,ACOAETME2022[[#All],[ACO/AE or Insurer Overall Organization ID]],ValbyACO_ICC4[[#This Row],[Org ID]])/ValbyACO_ICC4[[#This Row],[2022 Member Months]])</f>
        <v>NA</v>
      </c>
      <c r="AE44" s="119" t="str">
        <f>IF(ValbyACO_ICC4[[#This Row],[2022 Member Months]]=0,"NA",SUMIFS(ACOAETME2022[[#All],[TOTAL Truncated Unadjusted Expenses (A20+A21)]],ACOAETME2022[[#All],[Insurance Category Code]],$E$34,ACOAETME2022[[#All],[ACO/AE or Insurer Overall Organization ID]],ValbyACO_ICC4[[#This Row],[Org ID]])/ValbyACO_ICC4[[#This Row],[2022 Member Months]])</f>
        <v>NA</v>
      </c>
      <c r="AF44" s="160" t="str">
        <f>IFERROR(IF(ValbyACO_ICC4[[#This Row],[2021 Member Months]]=0,"NA",ValbyACO_ICC4[[#This Row],[2022 Member Months]]/ValbyACO_ICC4[[#This Row],[2021 Member Months]]-1),"NA")</f>
        <v>NA</v>
      </c>
      <c r="AG44" s="161" t="str">
        <f>IFERROR(IF(ValbyACO_ICC4[[#This Row],[2021 Member Months]]=0,"NA",ValbyACO_ICC4[[#This Row],[2022 Claims: Hospital Inpatient]]/ValbyACO_ICC4[[#This Row],[2021 Claims: Hospital Inpatient]]-1),"NA")</f>
        <v>NA</v>
      </c>
      <c r="AH44" s="162" t="str">
        <f>IFERROR(IF(ValbyACO_ICC4[[#This Row],[2021 Member Months]]=0,"NA",ValbyACO_ICC4[[#This Row],[2022 Claims: Hospital Outpatient]]/ValbyACO_ICC4[[#This Row],[2021 Claims: Hospital Outpatient]]-1),"NA")</f>
        <v>NA</v>
      </c>
      <c r="AI44" s="162" t="str">
        <f>IFERROR(IF(ValbyACO_ICC4[[#This Row],[2021 Member Months]]=0,"NA",ValbyACO_ICC4[[#This Row],[2022 Claims: Professional, Primary Care]]/ValbyACO_ICC4[[#This Row],[2021 Claims: Professional, Primary Care]]-1),"NA")</f>
        <v>NA</v>
      </c>
      <c r="AJ44" s="162" t="str">
        <f>IFERROR(IF(ValbyACO_ICC4[[#This Row],[2021 Member Months]]=0,"NA",ValbyACO_ICC4[[#This Row],[2022 Claims: Professional, Specialty Care]]/ValbyACO_ICC4[[#This Row],[2021 Claims: Professional, Specialty Care]]-1),"NA")</f>
        <v>NA</v>
      </c>
      <c r="AK44" s="162" t="str">
        <f>IFERROR(IF(ValbyACO_ICC4[[#This Row],[2021 Member Months]]=0,"NA", ValbyACO_ICC4[[#This Row],[2022 Claims: Professional Other]]/ValbyACO_ICC4[[#This Row],[2021 Claims: Professional Other]]-1),"NA")</f>
        <v>NA</v>
      </c>
      <c r="AL44" s="162" t="str">
        <f>IFERROR(IF(ValbyACO_ICC4[[#This Row],[2021 Member Months]]=0,"NA",ValbyACO_ICC4[[#This Row],[2022 Claims: Pharmacy (Gross of Retail Pharmacy Rebates)]]/ValbyACO_ICC4[[#This Row],[2021 Claims: Pharmacy (Gross of  Rebates)]]-1),"NA")</f>
        <v>NA</v>
      </c>
      <c r="AM44" s="162" t="str">
        <f>IFERROR(IF(ValbyACO_ICC4[[#This Row],[2021 Member Months]]=0,"NA",ValbyACO_ICC4[[#This Row],[2022 Claims: Long-term Care]]/ValbyACO_ICC4[[#This Row],[2021 Claims: Long-term Care]]-1),"NA")</f>
        <v>NA</v>
      </c>
      <c r="AN44" s="162" t="str">
        <f>IFERROR(IF(ValbyACO_ICC4[[#This Row],[2021 Member Months]]=0,"NA",ValbyACO_ICC4[[#This Row],[2022 Claims: Other]]/ValbyACO_ICC4[[#This Row],[2021 Claims: Other]]-1),"NA")</f>
        <v>NA</v>
      </c>
      <c r="AO44" s="163" t="str">
        <f>IFERROR(IF(ValbyACO_ICC4[[#This Row],[2021 Member Months]]=0,"NA",ValbyACO_ICC4[[#This Row],[2022 TOTAL Non-Truncated Claims Expenses]]/ValbyACO_ICC4[[#This Row],[2021 TOTAL Non-Truncated Claims Expenses]]-1),"NA")</f>
        <v>NA</v>
      </c>
      <c r="AP44" s="163" t="str">
        <f>IFERROR(IF(ValbyACO_ICC4[[#This Row],[2021 Member Months]]=0,"NA",ValbyACO_ICC4[[#This Row],[2022 TOTAL Truncated Claims Expenses]]/ValbyACO_ICC4[[#This Row],[2021 TOTAL Truncated Claims Expenses]]-1),"NA")</f>
        <v>NA</v>
      </c>
      <c r="AQ44" s="163" t="str">
        <f>IFERROR(IF(ValbyACO_ICC4[[#This Row],[2021 Member Months]]=0,"NA",ValbyACO_ICC4[[#This Row],[2022 TOTAL Non-Claims Expenses]]/ValbyACO_ICC4[[#This Row],[2021 TOTAL Non-Claims Expenses]]-1),"NA")</f>
        <v>NA</v>
      </c>
      <c r="AR44" s="163" t="str">
        <f>IFERROR(IF(ValbyACO_ICC4[[#This Row],[2021 Member Months]]=0,"NA",ValbyACO_ICC4[[#This Row],[2022 TOTAL Non-Truncated Total Expenses]]/ValbyACO_ICC4[[#This Row],[2021 TOTAL Non-Truncated Total Expenses]]-1),"NA")</f>
        <v>NA</v>
      </c>
      <c r="AS44" s="164" t="str">
        <f>IFERROR(IF(ValbyACO_ICC4[[#This Row],[2021 Member Months]]=0,"NA",ValbyACO_ICC4[[#This Row],[2022 TOTAL Truncated Total Expenses]]/ValbyACO_ICC4[[#This Row],[2021 TOTAL Truncated Total Expenses]]-1),"NA")</f>
        <v>NA</v>
      </c>
    </row>
    <row r="45" spans="1:45" x14ac:dyDescent="0.35">
      <c r="B45" s="251"/>
      <c r="C45" s="132" t="s">
        <v>118</v>
      </c>
      <c r="D45" s="273">
        <f>SUM(D36:D44)</f>
        <v>0</v>
      </c>
      <c r="E45" s="269" t="str">
        <f>IF(ValbyACO_ICC4[[#This Row],[2021 Member Months]]=0,"NA",SUMPRODUCT(E36:E44,D36:D44)/ValbyACO_ICC4[[#This Row],[2021 Member Months]])</f>
        <v>NA</v>
      </c>
      <c r="F45" s="315" t="str">
        <f>IF(ValbyACO_ICC4[[#This Row],[2021 Member Months]]=0,"NA",SUMPRODUCT(F36:F44,D36:D44)/ValbyACO_ICC4[[#This Row],[2021 Member Months]])</f>
        <v>NA</v>
      </c>
      <c r="G45" s="315" t="str">
        <f>IF(ValbyACO_ICC4[[#This Row],[2021 Member Months]]=0,"NA",SUMPRODUCT(G36:G44,D36:D44)/ValbyACO_ICC4[[#This Row],[2021 Member Months]])</f>
        <v>NA</v>
      </c>
      <c r="H45" s="315" t="str">
        <f>IF(ValbyACO_ICC4[[#This Row],[2021 Member Months]]=0,"NA",SUMPRODUCT(H36:H44,D36:D44)/ValbyACO_ICC4[[#This Row],[2021 Member Months]])</f>
        <v>NA</v>
      </c>
      <c r="I45" s="315" t="str">
        <f>IF(ValbyACO_ICC4[[#This Row],[2021 Member Months]]=0,"NA",SUMPRODUCT(I36:I44,D36:D44)/ValbyACO_ICC4[[#This Row],[2021 Member Months]])</f>
        <v>NA</v>
      </c>
      <c r="J45" s="315" t="str">
        <f>IF(ValbyACO_ICC4[[#This Row],[2021 Member Months]]=0,"NA",SUMPRODUCT(J36:J44,D36:D44)/ValbyACO_ICC4[[#This Row],[2021 Member Months]])</f>
        <v>NA</v>
      </c>
      <c r="K45" s="315" t="str">
        <f>IF(ValbyACO_ICC4[[#This Row],[2021 Member Months]]=0,"NA",SUMPRODUCT(K36:K44,D36:D44)/ValbyACO_ICC4[[#This Row],[2021 Member Months]])</f>
        <v>NA</v>
      </c>
      <c r="L45" s="315" t="str">
        <f>IF(ValbyACO_ICC4[[#This Row],[2021 Member Months]]=0,"NA",SUMPRODUCT(L36:L44,D36:D44)/ValbyACO_ICC4[[#This Row],[2021 Member Months]])</f>
        <v>NA</v>
      </c>
      <c r="M45" s="124" t="str">
        <f>IF(ValbyACO_ICC4[[#This Row],[2021 Member Months]]=0,"NA",SUMPRODUCT(M36:M44,D36:D44)/ValbyACO_ICC4[[#This Row],[2021 Member Months]])</f>
        <v>NA</v>
      </c>
      <c r="N45" s="124" t="str">
        <f>IF(ValbyACO_ICC4[[#This Row],[2021 Member Months]]=0,"NA",SUMPRODUCT(N36:N44,D36:D44)/ValbyACO_ICC4[[#This Row],[2021 Member Months]])</f>
        <v>NA</v>
      </c>
      <c r="O45" s="124" t="str">
        <f>IF(ValbyACO_ICC4[[#This Row],[2021 Member Months]]=0,"NA",SUMPRODUCT(O36:O44,D36:D44)/ValbyACO_ICC4[[#This Row],[2021 Member Months]])</f>
        <v>NA</v>
      </c>
      <c r="P45" s="124" t="str">
        <f>IF(ValbyACO_ICC4[[#This Row],[2021 Member Months]]=0,"NA",SUMPRODUCT(P36:P44,D36:D44)/ValbyACO_ICC4[[#This Row],[2021 Member Months]])</f>
        <v>NA</v>
      </c>
      <c r="Q45" s="125" t="str">
        <f>IF(ValbyACO_ICC4[[#This Row],[2021 Member Months]]=0,"NA",SUMPRODUCT(Q36:Q44,D36:D44)/ValbyACO_ICC4[[#This Row],[2021 Member Months]])</f>
        <v>NA</v>
      </c>
      <c r="R45" s="193">
        <f>SUM(R36:R44)</f>
        <v>0</v>
      </c>
      <c r="S45" s="123" t="str">
        <f>IF(ValbyACO_ICC4[[#This Row],[2022 Member Months]]=0,"NA",SUMPRODUCT(S36:S44,R36:R44)/ValbyACO_ICC4[[#This Row],[2022 Member Months]])</f>
        <v>NA</v>
      </c>
      <c r="T45" s="89" t="str">
        <f>IF(ValbyACO_ICC4[[#This Row],[2022 Member Months]]=0,"NA",SUMPRODUCT(T36:T44,R36:R44)/ValbyACO_ICC4[[#This Row],[2022 Member Months]])</f>
        <v>NA</v>
      </c>
      <c r="U45" s="89" t="str">
        <f>IF(ValbyACO_ICC4[[#This Row],[2022 Member Months]]=0,"NA",SUMPRODUCT(U36:U44,R36:R44)/ValbyACO_ICC4[[#This Row],[2022 Member Months]])</f>
        <v>NA</v>
      </c>
      <c r="V45" s="89" t="str">
        <f>IF(ValbyACO_ICC4[[#This Row],[2022 Member Months]]=0,"NA",SUMPRODUCT(V36:V44,R36:R44)/ValbyACO_ICC4[[#This Row],[2022 Member Months]])</f>
        <v>NA</v>
      </c>
      <c r="W45" s="89" t="str">
        <f>IF(ValbyACO_ICC4[[#This Row],[2022 Member Months]]=0,"NA",SUMPRODUCT(W36:W44,R36:R44)/ValbyACO_ICC4[[#This Row],[2022 Member Months]])</f>
        <v>NA</v>
      </c>
      <c r="X45" s="89" t="str">
        <f>IF(ValbyACO_ICC4[[#This Row],[2022 Member Months]]=0,"NA",SUMPRODUCT(X36:X44,R36:R44)/ValbyACO_ICC4[[#This Row],[2022 Member Months]])</f>
        <v>NA</v>
      </c>
      <c r="Y45" s="89" t="str">
        <f>IF(ValbyACO_ICC4[[#This Row],[2022 Member Months]]=0,"NA",SUMPRODUCT(Y36:Y44,R36:R44)/ValbyACO_ICC4[[#This Row],[2022 Member Months]])</f>
        <v>NA</v>
      </c>
      <c r="Z45" s="89" t="str">
        <f>IF(ValbyACO_ICC4[[#This Row],[2022 Member Months]]=0,"NA",SUMPRODUCT(Z36:Z44,R36:R44)/ValbyACO_ICC4[[#This Row],[2022 Member Months]])</f>
        <v>NA</v>
      </c>
      <c r="AA45" s="124" t="str">
        <f>IF(ValbyACO_ICC4[[#This Row],[2022 Member Months]]=0,"NA",SUMPRODUCT(AA36:AA44,R36:R44)/ValbyACO_ICC4[[#This Row],[2022 Member Months]])</f>
        <v>NA</v>
      </c>
      <c r="AB45" s="124" t="str">
        <f>IF(ValbyACO_ICC4[[#This Row],[2022 Member Months]]=0,"NA",SUMPRODUCT(AB36:AB44,R36:R44)/ValbyACO_ICC4[[#This Row],[2022 Member Months]])</f>
        <v>NA</v>
      </c>
      <c r="AC45" s="124" t="str">
        <f>IF(ValbyACO_ICC4[[#This Row],[2022 Member Months]]=0,"NA",SUMPRODUCT(AC36:AC44,R36:R44)/ValbyACO_ICC4[[#This Row],[2022 Member Months]])</f>
        <v>NA</v>
      </c>
      <c r="AD45" s="124" t="str">
        <f>IF(ValbyACO_ICC4[[#This Row],[2022 Member Months]]=0,"NA",SUMPRODUCT(AD36:AD44,R36:R44)/ValbyACO_ICC4[[#This Row],[2022 Member Months]])</f>
        <v>NA</v>
      </c>
      <c r="AE45" s="125" t="str">
        <f>IF(ValbyACO_ICC4[[#This Row],[2022 Member Months]]=0,"NA",SUMPRODUCT(AE36:AE44,R36:R44)/ValbyACO_ICC4[[#This Row],[2022 Member Months]])</f>
        <v>NA</v>
      </c>
      <c r="AF45" s="160" t="str">
        <f>IFERROR(IF(ValbyACO_ICC4[[#This Row],[2021 Member Months]]=0,"NA",ValbyACO_ICC4[[#This Row],[2022 Member Months]]/ValbyACO_ICC4[[#This Row],[2021 Member Months]]-1),"NA")</f>
        <v>NA</v>
      </c>
      <c r="AG45" s="161" t="str">
        <f>IFERROR(IF(ValbyACO_ICC4[[#This Row],[2021 Member Months]]=0,"NA",ValbyACO_ICC4[[#This Row],[2022 Claims: Hospital Inpatient]]/ValbyACO_ICC4[[#This Row],[2021 Claims: Hospital Inpatient]]-1),"NA")</f>
        <v>NA</v>
      </c>
      <c r="AH45" s="162" t="str">
        <f>IFERROR(IF(ValbyACO_ICC4[[#This Row],[2021 Member Months]]=0,"NA",ValbyACO_ICC4[[#This Row],[2022 Claims: Hospital Outpatient]]/ValbyACO_ICC4[[#This Row],[2021 Claims: Hospital Outpatient]]-1),"NA")</f>
        <v>NA</v>
      </c>
      <c r="AI45" s="162" t="str">
        <f>IFERROR(IF(ValbyACO_ICC4[[#This Row],[2021 Member Months]]=0,"NA",ValbyACO_ICC4[[#This Row],[2022 Claims: Professional, Primary Care]]/ValbyACO_ICC4[[#This Row],[2021 Claims: Professional, Primary Care]]-1),"NA")</f>
        <v>NA</v>
      </c>
      <c r="AJ45" s="162" t="str">
        <f>IFERROR(IF(ValbyACO_ICC4[[#This Row],[2021 Member Months]]=0,"NA",ValbyACO_ICC4[[#This Row],[2022 Claims: Professional, Specialty Care]]/ValbyACO_ICC4[[#This Row],[2021 Claims: Professional, Specialty Care]]-1),"NA")</f>
        <v>NA</v>
      </c>
      <c r="AK45" s="162" t="str">
        <f>IFERROR(IF(ValbyACO_ICC4[[#This Row],[2021 Member Months]]=0,"NA", ValbyACO_ICC4[[#This Row],[2022 Claims: Professional Other]]/ValbyACO_ICC4[[#This Row],[2021 Claims: Professional Other]]-1),"NA")</f>
        <v>NA</v>
      </c>
      <c r="AL45" s="162" t="str">
        <f>IFERROR(IF(ValbyACO_ICC4[[#This Row],[2021 Member Months]]=0,"NA",ValbyACO_ICC4[[#This Row],[2022 Claims: Pharmacy (Gross of Retail Pharmacy Rebates)]]/ValbyACO_ICC4[[#This Row],[2021 Claims: Pharmacy (Gross of  Rebates)]]-1),"NA")</f>
        <v>NA</v>
      </c>
      <c r="AM45" s="162" t="str">
        <f>IFERROR(IF(ValbyACO_ICC4[[#This Row],[2021 Member Months]]=0,"NA",ValbyACO_ICC4[[#This Row],[2022 Claims: Long-term Care]]/ValbyACO_ICC4[[#This Row],[2021 Claims: Long-term Care]]-1),"NA")</f>
        <v>NA</v>
      </c>
      <c r="AN45" s="162" t="str">
        <f>IFERROR(IF(ValbyACO_ICC4[[#This Row],[2021 Member Months]]=0,"NA",ValbyACO_ICC4[[#This Row],[2022 Claims: Other]]/ValbyACO_ICC4[[#This Row],[2021 Claims: Other]]-1),"NA")</f>
        <v>NA</v>
      </c>
      <c r="AO45" s="163" t="str">
        <f>IFERROR(IF(ValbyACO_ICC4[[#This Row],[2021 Member Months]]=0,"NA",ValbyACO_ICC4[[#This Row],[2022 TOTAL Non-Truncated Claims Expenses]]/ValbyACO_ICC4[[#This Row],[2021 TOTAL Non-Truncated Claims Expenses]]-1),"NA")</f>
        <v>NA</v>
      </c>
      <c r="AP45" s="163" t="str">
        <f>IFERROR(IF(ValbyACO_ICC4[[#This Row],[2021 Member Months]]=0,"NA",ValbyACO_ICC4[[#This Row],[2022 TOTAL Truncated Claims Expenses]]/ValbyACO_ICC4[[#This Row],[2021 TOTAL Truncated Claims Expenses]]-1),"NA")</f>
        <v>NA</v>
      </c>
      <c r="AQ45" s="163" t="str">
        <f>IFERROR(IF(ValbyACO_ICC4[[#This Row],[2021 Member Months]]=0,"NA",ValbyACO_ICC4[[#This Row],[2022 TOTAL Non-Claims Expenses]]/ValbyACO_ICC4[[#This Row],[2021 TOTAL Non-Claims Expenses]]-1),"NA")</f>
        <v>NA</v>
      </c>
      <c r="AR45" s="163" t="str">
        <f>IFERROR(IF(ValbyACO_ICC4[[#This Row],[2021 Member Months]]=0,"NA",ValbyACO_ICC4[[#This Row],[2022 TOTAL Non-Truncated Total Expenses]]/ValbyACO_ICC4[[#This Row],[2021 TOTAL Non-Truncated Total Expenses]]-1),"NA")</f>
        <v>NA</v>
      </c>
      <c r="AS45" s="164" t="str">
        <f>IFERROR(IF(ValbyACO_ICC4[[#This Row],[2021 Member Months]]=0,"NA",ValbyACO_ICC4[[#This Row],[2022 TOTAL Truncated Total Expenses]]/ValbyACO_ICC4[[#This Row],[2021 TOTAL Truncated Total Expenses]]-1),"NA")</f>
        <v>NA</v>
      </c>
    </row>
    <row r="46" spans="1:45" x14ac:dyDescent="0.35">
      <c r="B46" s="255"/>
      <c r="C46" s="256" t="s">
        <v>119</v>
      </c>
      <c r="D46" s="276">
        <f t="shared" ref="D46" si="4">D45</f>
        <v>0</v>
      </c>
      <c r="E46" s="295"/>
      <c r="F46" s="338"/>
      <c r="G46" s="338"/>
      <c r="H46" s="338"/>
      <c r="I46" s="338"/>
      <c r="J46" s="339" t="str">
        <f>IF(ValbyACO_ICC4[[#This Row],[2021 Member Months]]=0,"NA",(SUMPRODUCT(J36:J44,D36:D44)-ABS(SUMIF(RxRebates21[[#All],[Insurance Category Code]],$E$34,RxRebates21[[#All],[Retail Pharmacy Rebates]])))/ValbyACO_ICC4[[#This Row],[2021 Member Months]])</f>
        <v>NA</v>
      </c>
      <c r="K46" s="338"/>
      <c r="L46" s="338"/>
      <c r="M46" s="260" t="str">
        <f>IF(ValbyACO_ICC4[[#This Row],[2021 Member Months]]=0,"NA",(SUMPRODUCT(M36:M44,D36:D44)-ABS(SUMIF(RxRebates21[[#All],[Insurance Category Code]],$E$34,RxRebates21[[#All],[Total Pharmacy Rebates]])))/ValbyACO_ICC4[[#This Row],[2021 Member Months]])</f>
        <v>NA</v>
      </c>
      <c r="N46" s="260" t="str">
        <f>IF(ValbyACO_ICC4[[#This Row],[2021 Member Months]]=0,"NA",(SUMPRODUCT(N36:N44,D36:D44)-ABS(SUMIF(RxRebates21[[#All],[Insurance Category Code]],$E$34,RxRebates21[[#All],[Total Pharmacy Rebates]])))/ValbyACO_ICC4[[#This Row],[2021 Member Months]])</f>
        <v>NA</v>
      </c>
      <c r="O46" s="260" t="str">
        <f>IF(ValbyACO_ICC4[[#This Row],[2021 Member Months]]=0,"NA",(SUMPRODUCT(O36:O44,D36:D44)-ABS(SUMIF(RxRebates21[[#All],[Insurance Category Code]],$E$34,RxRebates21[[#All],[Total Pharmacy Rebates]])))/ValbyACO_ICC4[[#This Row],[2021 Member Months]])</f>
        <v>NA</v>
      </c>
      <c r="P46" s="260" t="str">
        <f>IF(ValbyACO_ICC4[[#This Row],[2021 Member Months]]=0,"NA",(SUMPRODUCT(P36:P44,D36:D44)-ABS(SUMIF(RxRebates21[[#All],[Insurance Category Code]],$E$34,RxRebates21[[#All],[Total Pharmacy Rebates]])))/ValbyACO_ICC4[[#This Row],[2021 Member Months]])</f>
        <v>NA</v>
      </c>
      <c r="Q46" s="261" t="str">
        <f>IF(ValbyACO_ICC4[[#This Row],[2021 Member Months]]=0,"NA",(SUMPRODUCT(Q36:Q44,D36:D44)-ABS(SUMIF(RxRebates21[[#All],[Insurance Category Code]],$E$34,RxRebates21[[#All],[Total Pharmacy Rebates]])))/ValbyACO_ICC4[[#This Row],[2021 Member Months]])</f>
        <v>NA</v>
      </c>
      <c r="R46" s="257">
        <f t="shared" ref="R46" si="5">R45</f>
        <v>0</v>
      </c>
      <c r="S46" s="334"/>
      <c r="T46" s="296"/>
      <c r="U46" s="296"/>
      <c r="V46" s="296"/>
      <c r="W46" s="296"/>
      <c r="X46" s="259" t="str">
        <f>IF(ValbyACO_ICC4[[#This Row],[2022 Member Months]]=0,"NA",(SUMPRODUCT(X36:X44,R36:R44)-ABS(SUMIF(RxRebates22[[#All],[Insurance Category Code]],$E$34,RxRebates22[[#All],[Retail Pharmacy Rebates]])))/ValbyACO_ICC4[[#This Row],[2022 Member Months]])</f>
        <v>NA</v>
      </c>
      <c r="Y46" s="296"/>
      <c r="Z46" s="296"/>
      <c r="AA46" s="260" t="str">
        <f>IF(ValbyACO_ICC4[[#This Row],[2022 Member Months]]=0,"NA",(SUMPRODUCT(AA36:AA44,R36:R44)-ABS(SUMIF(RxRebates22[[#All],[Insurance Category Code]],$E$34,RxRebates22[[#All],[Total Pharmacy Rebates]])))/ValbyACO_ICC4[[#This Row],[2022 Member Months]])</f>
        <v>NA</v>
      </c>
      <c r="AB46" s="260" t="str">
        <f>IF(ValbyACO_ICC4[[#This Row],[2022 Member Months]]=0,"NA",(SUMPRODUCT(AB36:AB44,R36:R44)-ABS(SUMIF(RxRebates22[[#All],[Insurance Category Code]],$E$34,RxRebates22[[#All],[Total Pharmacy Rebates]])))/ValbyACO_ICC4[[#This Row],[2022 Member Months]])</f>
        <v>NA</v>
      </c>
      <c r="AC46" s="260" t="str">
        <f>IF(ValbyACO_ICC4[[#This Row],[2022 Member Months]]=0,"NA",(SUMPRODUCT(AC36:AC44,R36:R44)-ABS(SUMIF(RxRebates22[[#All],[Insurance Category Code]],$E$34,RxRebates22[[#All],[Total Pharmacy Rebates]])))/ValbyACO_ICC4[[#This Row],[2022 Member Months]])</f>
        <v>NA</v>
      </c>
      <c r="AD46" s="260" t="str">
        <f>IF(ValbyACO_ICC4[[#This Row],[2022 Member Months]]=0,"NA",(SUMPRODUCT(AD36:AD44,R36:R44)-ABS(SUMIF(RxRebates22[[#All],[Insurance Category Code]],$E$34,RxRebates22[[#All],[Total Pharmacy Rebates]])))/ValbyACO_ICC4[[#This Row],[2022 Member Months]])</f>
        <v>NA</v>
      </c>
      <c r="AE46" s="261" t="str">
        <f>IF(ValbyACO_ICC4[[#This Row],[2022 Member Months]]=0,"NA",(SUMPRODUCT(AE36:AE44,R36:R44)-ABS(SUMIF(RxRebates22[[#All],[Insurance Category Code]],$E$34,RxRebates22[[#All],[Total Pharmacy Rebates]])))/ValbyACO_ICC4[[#This Row],[2022 Member Months]])</f>
        <v>NA</v>
      </c>
      <c r="AF46" s="160" t="str">
        <f>IFERROR(IF(ValbyACO_ICC4[[#This Row],[2021 Member Months]]=0,"NA",ValbyACO_ICC4[[#This Row],[2022 Member Months]]/ValbyACO_ICC4[[#This Row],[2021 Member Months]]-1),"NA")</f>
        <v>NA</v>
      </c>
      <c r="AG46" s="335"/>
      <c r="AH46" s="336"/>
      <c r="AI46" s="336"/>
      <c r="AJ46" s="336"/>
      <c r="AK46" s="336"/>
      <c r="AL46" s="162" t="str">
        <f>IFERROR(IF(ValbyACO_ICC4[[#This Row],[2021 Member Months]]=0,"NA",ValbyACO_ICC4[[#This Row],[2022 Claims: Pharmacy (Gross of Retail Pharmacy Rebates)]]/ValbyACO_ICC4[[#This Row],[2021 Claims: Pharmacy (Gross of  Rebates)]]-1),"NA")</f>
        <v>NA</v>
      </c>
      <c r="AM46" s="336"/>
      <c r="AN46" s="336"/>
      <c r="AO46" s="163" t="str">
        <f>IFERROR(IF(ValbyACO_ICC4[[#This Row],[2021 Member Months]]=0,"NA",ValbyACO_ICC4[[#This Row],[2022 TOTAL Non-Truncated Claims Expenses]]/ValbyACO_ICC4[[#This Row],[2021 TOTAL Non-Truncated Claims Expenses]]-1),"NA")</f>
        <v>NA</v>
      </c>
      <c r="AP46" s="163" t="str">
        <f>IFERROR(IF(ValbyACO_ICC4[[#This Row],[2021 Member Months]]=0,"NA",ValbyACO_ICC4[[#This Row],[2022 TOTAL Truncated Claims Expenses]]/ValbyACO_ICC4[[#This Row],[2021 TOTAL Truncated Claims Expenses]]-1),"NA")</f>
        <v>NA</v>
      </c>
      <c r="AQ46" s="163" t="str">
        <f>IFERROR(IF(ValbyACO_ICC4[[#This Row],[2021 Member Months]]=0,"NA",ValbyACO_ICC4[[#This Row],[2022 TOTAL Non-Claims Expenses]]/ValbyACO_ICC4[[#This Row],[2021 TOTAL Non-Claims Expenses]]-1),"NA")</f>
        <v>NA</v>
      </c>
      <c r="AR46" s="163" t="str">
        <f>IFERROR(IF(ValbyACO_ICC4[[#This Row],[2021 Member Months]]=0,"NA",ValbyACO_ICC4[[#This Row],[2022 TOTAL Non-Truncated Total Expenses]]/ValbyACO_ICC4[[#This Row],[2021 TOTAL Non-Truncated Total Expenses]]-1),"NA")</f>
        <v>NA</v>
      </c>
      <c r="AS46" s="164" t="str">
        <f>IFERROR(IF(ValbyACO_ICC4[[#This Row],[2021 Member Months]]=0,"NA",ValbyACO_ICC4[[#This Row],[2022 TOTAL Truncated Total Expenses]]/ValbyACO_ICC4[[#This Row],[2021 TOTAL Truncated Total Expenses]]-1),"NA")</f>
        <v>NA</v>
      </c>
    </row>
    <row r="48" spans="1:45" ht="15.5" x14ac:dyDescent="0.35">
      <c r="B48" s="42" t="s">
        <v>151</v>
      </c>
      <c r="C48" s="42"/>
    </row>
    <row r="49" spans="1:45" ht="43.5" x14ac:dyDescent="0.35">
      <c r="B49" s="278" t="s">
        <v>159</v>
      </c>
      <c r="C49" s="279" t="s">
        <v>542</v>
      </c>
      <c r="D49" s="48" t="s">
        <v>573</v>
      </c>
      <c r="E49" s="49" t="s">
        <v>545</v>
      </c>
      <c r="F49" s="49" t="s">
        <v>546</v>
      </c>
      <c r="G49" s="49" t="s">
        <v>547</v>
      </c>
      <c r="H49" s="49" t="s">
        <v>548</v>
      </c>
      <c r="I49" s="49" t="s">
        <v>549</v>
      </c>
      <c r="J49" s="49" t="s">
        <v>665</v>
      </c>
      <c r="K49" s="49" t="s">
        <v>550</v>
      </c>
      <c r="L49" s="49" t="s">
        <v>551</v>
      </c>
      <c r="M49" s="49" t="s">
        <v>552</v>
      </c>
      <c r="N49" s="49" t="s">
        <v>553</v>
      </c>
      <c r="O49" s="49" t="s">
        <v>554</v>
      </c>
      <c r="P49" s="49" t="s">
        <v>555</v>
      </c>
      <c r="Q49" s="342" t="s">
        <v>556</v>
      </c>
      <c r="R49" s="277" t="s">
        <v>663</v>
      </c>
      <c r="S49" s="49" t="s">
        <v>649</v>
      </c>
      <c r="T49" s="49" t="s">
        <v>650</v>
      </c>
      <c r="U49" s="49" t="s">
        <v>651</v>
      </c>
      <c r="V49" s="49" t="s">
        <v>652</v>
      </c>
      <c r="W49" s="49" t="s">
        <v>653</v>
      </c>
      <c r="X49" s="49" t="s">
        <v>654</v>
      </c>
      <c r="Y49" s="49" t="s">
        <v>655</v>
      </c>
      <c r="Z49" s="49" t="s">
        <v>656</v>
      </c>
      <c r="AA49" s="49" t="s">
        <v>657</v>
      </c>
      <c r="AB49" s="49" t="s">
        <v>658</v>
      </c>
      <c r="AC49" s="49" t="s">
        <v>659</v>
      </c>
      <c r="AD49" s="49" t="s">
        <v>660</v>
      </c>
      <c r="AE49" s="343" t="s">
        <v>661</v>
      </c>
      <c r="AF49" s="390" t="s">
        <v>557</v>
      </c>
      <c r="AG49" s="391" t="s">
        <v>558</v>
      </c>
      <c r="AH49" s="391" t="s">
        <v>559</v>
      </c>
      <c r="AI49" s="391" t="s">
        <v>560</v>
      </c>
      <c r="AJ49" s="391" t="s">
        <v>561</v>
      </c>
      <c r="AK49" s="391" t="s">
        <v>562</v>
      </c>
      <c r="AL49" s="391" t="s">
        <v>563</v>
      </c>
      <c r="AM49" s="391" t="s">
        <v>564</v>
      </c>
      <c r="AN49" s="391" t="s">
        <v>565</v>
      </c>
      <c r="AO49" s="391" t="s">
        <v>566</v>
      </c>
      <c r="AP49" s="391" t="s">
        <v>567</v>
      </c>
      <c r="AQ49" s="391" t="s">
        <v>568</v>
      </c>
      <c r="AR49" s="391" t="s">
        <v>569</v>
      </c>
      <c r="AS49" s="392" t="s">
        <v>570</v>
      </c>
    </row>
    <row r="50" spans="1:45" x14ac:dyDescent="0.35">
      <c r="B50" s="250">
        <v>101</v>
      </c>
      <c r="C50" s="291" t="s">
        <v>167</v>
      </c>
      <c r="D50" s="272">
        <f t="shared" ref="D50:D58" si="6">D64+D78</f>
        <v>0</v>
      </c>
      <c r="E50" s="268" t="str">
        <f>IF(ValbyACO_MCaid[[#This Row],[2021 Member Months (sum of ICC2 + 6)]]=0,"NA",(SUMPRODUCT(E64,D64)+SUMPRODUCT(E78,D78))/ValbyACO_MCaid[[#This Row],[2021 Member Months (sum of ICC2 + 6)]])</f>
        <v>NA</v>
      </c>
      <c r="F50" s="268" t="str">
        <f>IF(ValbyACO_MCaid[[#This Row],[2021 Member Months (sum of ICC2 + 6)]]=0,"NA",(SUMPRODUCT(F64,D64)+SUMPRODUCT(F78,D78))/ValbyACO_MCaid[[#This Row],[2021 Member Months (sum of ICC2 + 6)]])</f>
        <v>NA</v>
      </c>
      <c r="G50" s="268" t="str">
        <f>IF(ValbyACO_MCaid[[#This Row],[2021 Member Months (sum of ICC2 + 6)]]=0,"NA",(SUMPRODUCT(G64,D64)+SUMPRODUCT(G78,D78))/ValbyACO_MCaid[[#This Row],[2021 Member Months (sum of ICC2 + 6)]])</f>
        <v>NA</v>
      </c>
      <c r="H50" s="268" t="str">
        <f>IF(ValbyACO_MCaid[[#This Row],[2021 Member Months (sum of ICC2 + 6)]]=0,"NA",(SUMPRODUCT(H64,D64)+SUMPRODUCT(H78,D78))/ValbyACO_MCaid[[#This Row],[2021 Member Months (sum of ICC2 + 6)]])</f>
        <v>NA</v>
      </c>
      <c r="I50" s="268" t="str">
        <f>IF(ValbyACO_MCaid[[#This Row],[2021 Member Months (sum of ICC2 + 6)]]=0,"NA",(SUMPRODUCT(I64,D64)+SUMPRODUCT(I78,D78))/ValbyACO_MCaid[[#This Row],[2021 Member Months (sum of ICC2 + 6)]])</f>
        <v>NA</v>
      </c>
      <c r="J50" s="268" t="str">
        <f>IF(ValbyACO_MCaid[[#This Row],[2021 Member Months (sum of ICC2 + 6)]]=0,"NA",(SUMPRODUCT(J64,D64)+SUMPRODUCT(J78,D78))/ValbyACO_MCaid[[#This Row],[2021 Member Months (sum of ICC2 + 6)]])</f>
        <v>NA</v>
      </c>
      <c r="K50" s="268" t="str">
        <f>IF(ValbyACO_MCaid[[#This Row],[2021 Member Months (sum of ICC2 + 6)]]=0,"NA",(SUMPRODUCT(K64,D64)+SUMPRODUCT(K78,D78))/ValbyACO_MCaid[[#This Row],[2021 Member Months (sum of ICC2 + 6)]])</f>
        <v>NA</v>
      </c>
      <c r="L50" s="268" t="str">
        <f>IF(ValbyACO_MCaid[[#This Row],[2021 Member Months (sum of ICC2 + 6)]]=0,"NA",(SUMPRODUCT(L64,D64)+SUMPRODUCT(L78,D78))/ValbyACO_MCaid[[#This Row],[2021 Member Months (sum of ICC2 + 6)]])</f>
        <v>NA</v>
      </c>
      <c r="M50" s="118" t="str">
        <f>IF(ValbyACO_MCaid[[#This Row],[2021 Member Months (sum of ICC2 + 6)]]=0,"NA",(SUMPRODUCT(M64,D64)+SUMPRODUCT(M78,D78))/ValbyACO_MCaid[[#This Row],[2021 Member Months (sum of ICC2 + 6)]])</f>
        <v>NA</v>
      </c>
      <c r="N50" s="118" t="str">
        <f>IF(ValbyACO_MCaid[[#This Row],[2021 Member Months (sum of ICC2 + 6)]]=0,"NA",(SUMPRODUCT(N64,D64)+SUMPRODUCT(N78,D78))/ValbyACO_MCaid[[#This Row],[2021 Member Months (sum of ICC2 + 6)]])</f>
        <v>NA</v>
      </c>
      <c r="O50" s="118" t="str">
        <f>IF(ValbyACO_MCaid[[#This Row],[2021 Member Months (sum of ICC2 + 6)]]=0,"NA",(SUMPRODUCT(O64,D64)+SUMPRODUCT(O78,D78))/ValbyACO_MCaid[[#This Row],[2021 Member Months (sum of ICC2 + 6)]])</f>
        <v>NA</v>
      </c>
      <c r="P50" s="118" t="str">
        <f>IF(ValbyACO_MCaid[[#This Row],[2021 Member Months (sum of ICC2 + 6)]]=0,"NA",(SUMPRODUCT(P64,D64)+SUMPRODUCT(P78,D78))/ValbyACO_MCaid[[#This Row],[2021 Member Months (sum of ICC2 + 6)]])</f>
        <v>NA</v>
      </c>
      <c r="Q50" s="119" t="str">
        <f>IF(ValbyACO_MCaid[[#This Row],[2021 Member Months (sum of ICC2 + 6)]]=0,"NA",(SUMPRODUCT(Q64,D64)+SUMPRODUCT(Q78,D78))/ValbyACO_MCaid[[#This Row],[2021 Member Months (sum of ICC2 + 6)]])</f>
        <v>NA</v>
      </c>
      <c r="R50" s="192">
        <f t="shared" ref="R50:R60" si="7">R64+R78</f>
        <v>0</v>
      </c>
      <c r="S50" s="118" t="str">
        <f>IF(ValbyACO_MCaid[[#This Row],[2022 Member Months (sum of ICC2 + 6)]]=0,"NA",(SUMPRODUCT(S64,R64)+SUMPRODUCT(S78,R78))/ValbyACO_MCaid[[#This Row],[2022 Member Months (sum of ICC2 + 6)]])</f>
        <v>NA</v>
      </c>
      <c r="T50" s="118" t="str">
        <f>IF(ValbyACO_MCaid[[#This Row],[2022 Member Months (sum of ICC2 + 6)]]=0,"NA",(SUMPRODUCT(T64,R64)+SUMPRODUCT(T78,R78))/ValbyACO_MCaid[[#This Row],[2022 Member Months (sum of ICC2 + 6)]])</f>
        <v>NA</v>
      </c>
      <c r="U50" s="118" t="str">
        <f>IF(ValbyACO_MCaid[[#This Row],[2022 Member Months (sum of ICC2 + 6)]]=0,"NA",(SUMPRODUCT(U64,R64)+SUMPRODUCT(U78,R78))/ValbyACO_MCaid[[#This Row],[2022 Member Months (sum of ICC2 + 6)]])</f>
        <v>NA</v>
      </c>
      <c r="V50" s="118" t="str">
        <f>IF(ValbyACO_MCaid[[#This Row],[2022 Member Months (sum of ICC2 + 6)]]=0,"NA",(SUMPRODUCT(V64,R64)+SUMPRODUCT(V78,R78))/ValbyACO_MCaid[[#This Row],[2022 Member Months (sum of ICC2 + 6)]])</f>
        <v>NA</v>
      </c>
      <c r="W50" s="118" t="str">
        <f>IF(ValbyACO_MCaid[[#This Row],[2022 Member Months (sum of ICC2 + 6)]]=0,"NA",(SUMPRODUCT(W64,R64)+SUMPRODUCT(W78,R78))/ValbyACO_MCaid[[#This Row],[2022 Member Months (sum of ICC2 + 6)]])</f>
        <v>NA</v>
      </c>
      <c r="X50" s="118" t="str">
        <f>IF(ValbyACO_MCaid[[#This Row],[2022 Member Months (sum of ICC2 + 6)]]=0,"NA",(SUMPRODUCT(X64,R64)+SUMPRODUCT(X78,R78))/ValbyACO_MCaid[[#This Row],[2022 Member Months (sum of ICC2 + 6)]])</f>
        <v>NA</v>
      </c>
      <c r="Y50" s="118" t="str">
        <f>IF(ValbyACO_MCaid[[#This Row],[2022 Member Months (sum of ICC2 + 6)]]=0,"NA",(SUMPRODUCT(Y64,R64)+SUMPRODUCT(Y78,R78))/ValbyACO_MCaid[[#This Row],[2022 Member Months (sum of ICC2 + 6)]])</f>
        <v>NA</v>
      </c>
      <c r="Z50" s="118" t="str">
        <f>IF(ValbyACO_MCaid[[#This Row],[2022 Member Months (sum of ICC2 + 6)]]=0,"NA",(SUMPRODUCT(Z64,R64)+SUMPRODUCT(Z78,R78))/ValbyACO_MCaid[[#This Row],[2022 Member Months (sum of ICC2 + 6)]])</f>
        <v>NA</v>
      </c>
      <c r="AA50" s="118" t="str">
        <f>IF(ValbyACO_MCaid[[#This Row],[2022 Member Months (sum of ICC2 + 6)]]=0,"NA",(SUMPRODUCT(AA64,R64)+SUMPRODUCT(AA78,R78))/ValbyACO_MCaid[[#This Row],[2022 Member Months (sum of ICC2 + 6)]])</f>
        <v>NA</v>
      </c>
      <c r="AB50" s="118" t="str">
        <f>IF(ValbyACO_MCaid[[#This Row],[2022 Member Months (sum of ICC2 + 6)]]=0,"NA",(SUMPRODUCT(AB64,R64)+SUMPRODUCT(AB78,R78))/ValbyACO_MCaid[[#This Row],[2022 Member Months (sum of ICC2 + 6)]])</f>
        <v>NA</v>
      </c>
      <c r="AC50" s="118" t="str">
        <f>IF(ValbyACO_MCaid[[#This Row],[2022 Member Months (sum of ICC2 + 6)]]=0,"NA",(SUMPRODUCT(AC64,R64)+SUMPRODUCT(AC78,R78))/ValbyACO_MCaid[[#This Row],[2022 Member Months (sum of ICC2 + 6)]])</f>
        <v>NA</v>
      </c>
      <c r="AD50" s="118" t="str">
        <f>IF(ValbyACO_MCaid[[#This Row],[2022 Member Months (sum of ICC2 + 6)]]=0,"NA",(SUMPRODUCT(AD64,R64)+SUMPRODUCT(AD78,R78))/ValbyACO_MCaid[[#This Row],[2022 Member Months (sum of ICC2 + 6)]])</f>
        <v>NA</v>
      </c>
      <c r="AE50" s="130" t="str">
        <f>IF(ValbyACO_MCaid[[#This Row],[2022 Member Months (sum of ICC2 + 6)]]=0,"NA",(SUMPRODUCT(AE64,R64)+SUMPRODUCT(AE78,R78))/ValbyACO_MCaid[[#This Row],[2022 Member Months (sum of ICC2 + 6)]])</f>
        <v>NA</v>
      </c>
      <c r="AF50" s="160" t="str">
        <f>IFERROR(IF(ValbyACO_MCaid[[#This Row],[2021 Member Months (sum of ICC2 + 6)]]=0,"NA",ValbyACO_MCaid[[#This Row],[2022 Member Months (sum of ICC2 + 6)]]/ValbyACO_MCaid[[#This Row],[2021 Member Months (sum of ICC2 + 6)]]-1),"NA")</f>
        <v>NA</v>
      </c>
      <c r="AG50" s="161" t="str">
        <f>IFERROR(IF(ValbyACO_MCaid[[#This Row],[2021 Member Months (sum of ICC2 + 6)]]=0,"NA",ValbyACO_MCaid[[#This Row],[2022 Claims: Hospital Inpatient]]/ValbyACO_MCaid[[#This Row],[2021 Claims: Hospital Inpatient]]-1),"NA")</f>
        <v>NA</v>
      </c>
      <c r="AH50" s="162" t="str">
        <f>IFERROR(IF(ValbyACO_MCaid[[#This Row],[2021 Member Months (sum of ICC2 + 6)]]=0,"NA",ValbyACO_MCaid[[#This Row],[2022 Claims: Hospital Outpatient]]/ValbyACO_MCaid[[#This Row],[2021 Claims: Hospital Outpatient]]-1),"NA")</f>
        <v>NA</v>
      </c>
      <c r="AI50" s="162" t="str">
        <f>IFERROR(IF(ValbyACO_MCaid[[#This Row],[2021 Member Months (sum of ICC2 + 6)]]=0,"NA",ValbyACO_MCaid[[#This Row],[2022 Claims: Professional, Primary Care]]/ValbyACO_MCaid[[#This Row],[2021 Claims: Professional, Primary Care]]-1),"NA")</f>
        <v>NA</v>
      </c>
      <c r="AJ50" s="162" t="str">
        <f>IFERROR(IF(ValbyACO_MCaid[[#This Row],[2021 Member Months (sum of ICC2 + 6)]]=0,"NA",ValbyACO_MCaid[[#This Row],[2022 Claims: Professional, Specialty Care]]/ValbyACO_MCaid[[#This Row],[2021 Claims: Professional, Specialty Care]]-1),"NA")</f>
        <v>NA</v>
      </c>
      <c r="AK50" s="162" t="str">
        <f>IFERROR(IF(ValbyACO_MCaid[[#This Row],[2021 Member Months (sum of ICC2 + 6)]]=0,"NA", ValbyACO_MCaid[[#This Row],[2022 Claims: Professional Other]]/ValbyACO_MCaid[[#This Row],[2021 Claims: Professional Other]]-1),"NA")</f>
        <v>NA</v>
      </c>
      <c r="AL50" s="162" t="str">
        <f>IFERROR(IF(ValbyACO_MCaid[[#This Row],[2021 Member Months (sum of ICC2 + 6)]]=0,"NA",ValbyACO_MCaid[[#This Row],[2022 Claims: Pharmacy (Gross of Retail Pharmacy Rebates)]]/ValbyACO_MCaid[[#This Row],[2021 Claims: Pharmacy (Gross of  Rebates)]]-1),"NA")</f>
        <v>NA</v>
      </c>
      <c r="AM50" s="162" t="str">
        <f>IFERROR(IF(ValbyACO_MCaid[[#This Row],[2021 Member Months (sum of ICC2 + 6)]]=0,"NA",ValbyACO_MCaid[[#This Row],[2022 Claims: Long-term Care]]/ValbyACO_MCaid[[#This Row],[2021 Claims: Long-term Care]]-1),"NA")</f>
        <v>NA</v>
      </c>
      <c r="AN50" s="162" t="str">
        <f>IFERROR(IF(ValbyACO_MCaid[[#This Row],[2021 Member Months (sum of ICC2 + 6)]]=0,"NA",ValbyACO_MCaid[[#This Row],[2022 Claims: Other]]/ValbyACO_MCaid[[#This Row],[2021 Claims: Other]]-1),"NA")</f>
        <v>NA</v>
      </c>
      <c r="AO50" s="163" t="str">
        <f>IFERROR(IF(ValbyACO_MCaid[[#This Row],[2021 Member Months (sum of ICC2 + 6)]]=0,"NA",ValbyACO_MCaid[[#This Row],[2022 TOTAL Non-Truncated Claims Expenses]]/ValbyACO_MCaid[[#This Row],[2021 TOTAL Non-Truncated Claims Expenses]]-1),"NA")</f>
        <v>NA</v>
      </c>
      <c r="AP50" s="163" t="str">
        <f>IFERROR(IF(ValbyACO_MCaid[[#This Row],[2021 Member Months (sum of ICC2 + 6)]]=0,"NA",ValbyACO_MCaid[[#This Row],[2022 TOTAL Truncated Claims Expenses]]/ValbyACO_MCaid[[#This Row],[2021 TOTAL Truncated Claims Expenses]]-1),"NA")</f>
        <v>NA</v>
      </c>
      <c r="AQ50" s="163" t="str">
        <f>IFERROR(IF(ValbyACO_MCaid[[#This Row],[2021 Member Months (sum of ICC2 + 6)]]=0,"NA",ValbyACO_MCaid[[#This Row],[2022 TOTAL Non-Claims Expenses]]/ValbyACO_MCaid[[#This Row],[2021 TOTAL Non-Claims Expenses]]-1),"NA")</f>
        <v>NA</v>
      </c>
      <c r="AR50" s="163" t="str">
        <f>IFERROR(IF(ValbyACO_MCaid[[#This Row],[2021 Member Months (sum of ICC2 + 6)]]=0,"NA",ValbyACO_MCaid[[#This Row],[2022 TOTAL Non-Truncated Total Expenses]]/ValbyACO_MCaid[[#This Row],[2021 TOTAL Non-Truncated Total Expenses]]-1),"NA")</f>
        <v>NA</v>
      </c>
      <c r="AS50" s="164" t="str">
        <f>IFERROR(IF(ValbyACO_MCaid[[#This Row],[2021 Member Months (sum of ICC2 + 6)]]=0,"NA",ValbyACO_MCaid[[#This Row],[2022 TOTAL Truncated Total Expenses]]/ValbyACO_MCaid[[#This Row],[2021 TOTAL Truncated Total Expenses]]-1),"NA")</f>
        <v>NA</v>
      </c>
    </row>
    <row r="51" spans="1:45" x14ac:dyDescent="0.35">
      <c r="B51" s="250">
        <v>102</v>
      </c>
      <c r="C51" s="291" t="s">
        <v>190</v>
      </c>
      <c r="D51" s="272">
        <f t="shared" si="6"/>
        <v>0</v>
      </c>
      <c r="E51" s="268" t="str">
        <f>IF(ValbyACO_MCaid[[#This Row],[2021 Member Months (sum of ICC2 + 6)]]=0,"NA",(SUMPRODUCT(E65,D65)+SUMPRODUCT(E79,D79))/ValbyACO_MCaid[[#This Row],[2021 Member Months (sum of ICC2 + 6)]])</f>
        <v>NA</v>
      </c>
      <c r="F51" s="268" t="str">
        <f>IF(ValbyACO_MCaid[[#This Row],[2021 Member Months (sum of ICC2 + 6)]]=0,"NA",(SUMPRODUCT(F65,D65)+SUMPRODUCT(F79,D79))/ValbyACO_MCaid[[#This Row],[2021 Member Months (sum of ICC2 + 6)]])</f>
        <v>NA</v>
      </c>
      <c r="G51" s="268" t="str">
        <f>IF(ValbyACO_MCaid[[#This Row],[2021 Member Months (sum of ICC2 + 6)]]=0,"NA",(SUMPRODUCT(G65,D65)+SUMPRODUCT(G79,D79))/ValbyACO_MCaid[[#This Row],[2021 Member Months (sum of ICC2 + 6)]])</f>
        <v>NA</v>
      </c>
      <c r="H51" s="268" t="str">
        <f>IF(ValbyACO_MCaid[[#This Row],[2021 Member Months (sum of ICC2 + 6)]]=0,"NA",(SUMPRODUCT(H65,D65)+SUMPRODUCT(H79,D79))/ValbyACO_MCaid[[#This Row],[2021 Member Months (sum of ICC2 + 6)]])</f>
        <v>NA</v>
      </c>
      <c r="I51" s="268" t="str">
        <f>IF(ValbyACO_MCaid[[#This Row],[2021 Member Months (sum of ICC2 + 6)]]=0,"NA",(SUMPRODUCT(I65,D65)+SUMPRODUCT(I79,D79))/ValbyACO_MCaid[[#This Row],[2021 Member Months (sum of ICC2 + 6)]])</f>
        <v>NA</v>
      </c>
      <c r="J51" s="268" t="str">
        <f>IF(ValbyACO_MCaid[[#This Row],[2021 Member Months (sum of ICC2 + 6)]]=0,"NA",(SUMPRODUCT(J65,D65)+SUMPRODUCT(J79,D79))/ValbyACO_MCaid[[#This Row],[2021 Member Months (sum of ICC2 + 6)]])</f>
        <v>NA</v>
      </c>
      <c r="K51" s="268" t="str">
        <f>IF(ValbyACO_MCaid[[#This Row],[2021 Member Months (sum of ICC2 + 6)]]=0,"NA",(SUMPRODUCT(K65,D65)+SUMPRODUCT(K79,D79))/ValbyACO_MCaid[[#This Row],[2021 Member Months (sum of ICC2 + 6)]])</f>
        <v>NA</v>
      </c>
      <c r="L51" s="268" t="str">
        <f>IF(ValbyACO_MCaid[[#This Row],[2021 Member Months (sum of ICC2 + 6)]]=0,"NA",(SUMPRODUCT(L65,D65)+SUMPRODUCT(L79,D79))/ValbyACO_MCaid[[#This Row],[2021 Member Months (sum of ICC2 + 6)]])</f>
        <v>NA</v>
      </c>
      <c r="M51" s="118" t="str">
        <f>IF(ValbyACO_MCaid[[#This Row],[2021 Member Months (sum of ICC2 + 6)]]=0,"NA",(SUMPRODUCT(M65,D65)+SUMPRODUCT(M79,D79))/ValbyACO_MCaid[[#This Row],[2021 Member Months (sum of ICC2 + 6)]])</f>
        <v>NA</v>
      </c>
      <c r="N51" s="118" t="str">
        <f>IF(ValbyACO_MCaid[[#This Row],[2021 Member Months (sum of ICC2 + 6)]]=0,"NA",(SUMPRODUCT(N65,D65)+SUMPRODUCT(N79,D79))/ValbyACO_MCaid[[#This Row],[2021 Member Months (sum of ICC2 + 6)]])</f>
        <v>NA</v>
      </c>
      <c r="O51" s="118" t="str">
        <f>IF(ValbyACO_MCaid[[#This Row],[2021 Member Months (sum of ICC2 + 6)]]=0,"NA",(SUMPRODUCT(O65,D65)+SUMPRODUCT(O79,D79))/ValbyACO_MCaid[[#This Row],[2021 Member Months (sum of ICC2 + 6)]])</f>
        <v>NA</v>
      </c>
      <c r="P51" s="118" t="str">
        <f>IF(ValbyACO_MCaid[[#This Row],[2021 Member Months (sum of ICC2 + 6)]]=0,"NA",(SUMPRODUCT(P65,D65)+SUMPRODUCT(P79,D79))/ValbyACO_MCaid[[#This Row],[2021 Member Months (sum of ICC2 + 6)]])</f>
        <v>NA</v>
      </c>
      <c r="Q51" s="119" t="str">
        <f>IF(ValbyACO_MCaid[[#This Row],[2021 Member Months (sum of ICC2 + 6)]]=0,"NA",(SUMPRODUCT(Q65,D65)+SUMPRODUCT(Q79,D79))/ValbyACO_MCaid[[#This Row],[2021 Member Months (sum of ICC2 + 6)]])</f>
        <v>NA</v>
      </c>
      <c r="R51" s="192">
        <f t="shared" si="7"/>
        <v>0</v>
      </c>
      <c r="S51" s="118" t="str">
        <f>IF(ValbyACO_MCaid[[#This Row],[2022 Member Months (sum of ICC2 + 6)]]=0,"NA",(SUMPRODUCT(S65,R65)+SUMPRODUCT(S79,R79))/ValbyACO_MCaid[[#This Row],[2022 Member Months (sum of ICC2 + 6)]])</f>
        <v>NA</v>
      </c>
      <c r="T51" s="118" t="str">
        <f>IF(ValbyACO_MCaid[[#This Row],[2022 Member Months (sum of ICC2 + 6)]]=0,"NA",(SUMPRODUCT(T65,R65)+SUMPRODUCT(T79,R79))/ValbyACO_MCaid[[#This Row],[2022 Member Months (sum of ICC2 + 6)]])</f>
        <v>NA</v>
      </c>
      <c r="U51" s="118" t="str">
        <f>IF(ValbyACO_MCaid[[#This Row],[2022 Member Months (sum of ICC2 + 6)]]=0,"NA",(SUMPRODUCT(U65,R65)+SUMPRODUCT(U79,R79))/ValbyACO_MCaid[[#This Row],[2022 Member Months (sum of ICC2 + 6)]])</f>
        <v>NA</v>
      </c>
      <c r="V51" s="118" t="str">
        <f>IF(ValbyACO_MCaid[[#This Row],[2022 Member Months (sum of ICC2 + 6)]]=0,"NA",(SUMPRODUCT(V65,R65)+SUMPRODUCT(V79,R79))/ValbyACO_MCaid[[#This Row],[2022 Member Months (sum of ICC2 + 6)]])</f>
        <v>NA</v>
      </c>
      <c r="W51" s="118" t="str">
        <f>IF(ValbyACO_MCaid[[#This Row],[2022 Member Months (sum of ICC2 + 6)]]=0,"NA",(SUMPRODUCT(W65,R65)+SUMPRODUCT(W79,R79))/ValbyACO_MCaid[[#This Row],[2022 Member Months (sum of ICC2 + 6)]])</f>
        <v>NA</v>
      </c>
      <c r="X51" s="118" t="str">
        <f>IF(ValbyACO_MCaid[[#This Row],[2022 Member Months (sum of ICC2 + 6)]]=0,"NA",(SUMPRODUCT(X65,R65)+SUMPRODUCT(X79,R79))/ValbyACO_MCaid[[#This Row],[2022 Member Months (sum of ICC2 + 6)]])</f>
        <v>NA</v>
      </c>
      <c r="Y51" s="118" t="str">
        <f>IF(ValbyACO_MCaid[[#This Row],[2022 Member Months (sum of ICC2 + 6)]]=0,"NA",(SUMPRODUCT(Y65,R65)+SUMPRODUCT(Y79,R79))/ValbyACO_MCaid[[#This Row],[2022 Member Months (sum of ICC2 + 6)]])</f>
        <v>NA</v>
      </c>
      <c r="Z51" s="118" t="str">
        <f>IF(ValbyACO_MCaid[[#This Row],[2022 Member Months (sum of ICC2 + 6)]]=0,"NA",(SUMPRODUCT(Z65,R65)+SUMPRODUCT(Z79,R79))/ValbyACO_MCaid[[#This Row],[2022 Member Months (sum of ICC2 + 6)]])</f>
        <v>NA</v>
      </c>
      <c r="AA51" s="118" t="str">
        <f>IF(ValbyACO_MCaid[[#This Row],[2022 Member Months (sum of ICC2 + 6)]]=0,"NA",(SUMPRODUCT(AA65,R65)+SUMPRODUCT(AA79,R79))/ValbyACO_MCaid[[#This Row],[2022 Member Months (sum of ICC2 + 6)]])</f>
        <v>NA</v>
      </c>
      <c r="AB51" s="118" t="str">
        <f>IF(ValbyACO_MCaid[[#This Row],[2022 Member Months (sum of ICC2 + 6)]]=0,"NA",(SUMPRODUCT(AB65,R65)+SUMPRODUCT(AB79,R79))/ValbyACO_MCaid[[#This Row],[2022 Member Months (sum of ICC2 + 6)]])</f>
        <v>NA</v>
      </c>
      <c r="AC51" s="118" t="str">
        <f>IF(ValbyACO_MCaid[[#This Row],[2022 Member Months (sum of ICC2 + 6)]]=0,"NA",(SUMPRODUCT(AC65,R65)+SUMPRODUCT(AC79,R79))/ValbyACO_MCaid[[#This Row],[2022 Member Months (sum of ICC2 + 6)]])</f>
        <v>NA</v>
      </c>
      <c r="AD51" s="118" t="str">
        <f>IF(ValbyACO_MCaid[[#This Row],[2022 Member Months (sum of ICC2 + 6)]]=0,"NA",(SUMPRODUCT(AD65,R65)+SUMPRODUCT(AD79,R79))/ValbyACO_MCaid[[#This Row],[2022 Member Months (sum of ICC2 + 6)]])</f>
        <v>NA</v>
      </c>
      <c r="AE51" s="130" t="str">
        <f>IF(ValbyACO_MCaid[[#This Row],[2022 Member Months (sum of ICC2 + 6)]]=0,"NA",(SUMPRODUCT(AE65,R65)+SUMPRODUCT(AE79,R79))/ValbyACO_MCaid[[#This Row],[2022 Member Months (sum of ICC2 + 6)]])</f>
        <v>NA</v>
      </c>
      <c r="AF51" s="160" t="str">
        <f>IFERROR(IF(ValbyACO_MCaid[[#This Row],[2021 Member Months (sum of ICC2 + 6)]]=0,"NA",ValbyACO_MCaid[[#This Row],[2022 Member Months (sum of ICC2 + 6)]]/ValbyACO_MCaid[[#This Row],[2021 Member Months (sum of ICC2 + 6)]]-1),"NA")</f>
        <v>NA</v>
      </c>
      <c r="AG51" s="161" t="str">
        <f>IFERROR(IF(ValbyACO_MCaid[[#This Row],[2021 Member Months (sum of ICC2 + 6)]]=0,"NA",ValbyACO_MCaid[[#This Row],[2022 Claims: Hospital Inpatient]]/ValbyACO_MCaid[[#This Row],[2021 Claims: Hospital Inpatient]]-1),"NA")</f>
        <v>NA</v>
      </c>
      <c r="AH51" s="162" t="str">
        <f>IFERROR(IF(ValbyACO_MCaid[[#This Row],[2021 Member Months (sum of ICC2 + 6)]]=0,"NA",ValbyACO_MCaid[[#This Row],[2022 Claims: Hospital Outpatient]]/ValbyACO_MCaid[[#This Row],[2021 Claims: Hospital Outpatient]]-1),"NA")</f>
        <v>NA</v>
      </c>
      <c r="AI51" s="162" t="str">
        <f>IFERROR(IF(ValbyACO_MCaid[[#This Row],[2021 Member Months (sum of ICC2 + 6)]]=0,"NA",ValbyACO_MCaid[[#This Row],[2022 Claims: Professional, Primary Care]]/ValbyACO_MCaid[[#This Row],[2021 Claims: Professional, Primary Care]]-1),"NA")</f>
        <v>NA</v>
      </c>
      <c r="AJ51" s="162" t="str">
        <f>IFERROR(IF(ValbyACO_MCaid[[#This Row],[2021 Member Months (sum of ICC2 + 6)]]=0,"NA",ValbyACO_MCaid[[#This Row],[2022 Claims: Professional, Specialty Care]]/ValbyACO_MCaid[[#This Row],[2021 Claims: Professional, Specialty Care]]-1),"NA")</f>
        <v>NA</v>
      </c>
      <c r="AK51" s="162" t="str">
        <f>IFERROR(IF(ValbyACO_MCaid[[#This Row],[2021 Member Months (sum of ICC2 + 6)]]=0,"NA", ValbyACO_MCaid[[#This Row],[2022 Claims: Professional Other]]/ValbyACO_MCaid[[#This Row],[2021 Claims: Professional Other]]-1),"NA")</f>
        <v>NA</v>
      </c>
      <c r="AL51" s="162" t="str">
        <f>IFERROR(IF(ValbyACO_MCaid[[#This Row],[2021 Member Months (sum of ICC2 + 6)]]=0,"NA",ValbyACO_MCaid[[#This Row],[2022 Claims: Pharmacy (Gross of Retail Pharmacy Rebates)]]/ValbyACO_MCaid[[#This Row],[2021 Claims: Pharmacy (Gross of  Rebates)]]-1),"NA")</f>
        <v>NA</v>
      </c>
      <c r="AM51" s="162" t="str">
        <f>IFERROR(IF(ValbyACO_MCaid[[#This Row],[2021 Member Months (sum of ICC2 + 6)]]=0,"NA",ValbyACO_MCaid[[#This Row],[2022 Claims: Long-term Care]]/ValbyACO_MCaid[[#This Row],[2021 Claims: Long-term Care]]-1),"NA")</f>
        <v>NA</v>
      </c>
      <c r="AN51" s="162" t="str">
        <f>IFERROR(IF(ValbyACO_MCaid[[#This Row],[2021 Member Months (sum of ICC2 + 6)]]=0,"NA",ValbyACO_MCaid[[#This Row],[2022 Claims: Other]]/ValbyACO_MCaid[[#This Row],[2021 Claims: Other]]-1),"NA")</f>
        <v>NA</v>
      </c>
      <c r="AO51" s="163" t="str">
        <f>IFERROR(IF(ValbyACO_MCaid[[#This Row],[2021 Member Months (sum of ICC2 + 6)]]=0,"NA",ValbyACO_MCaid[[#This Row],[2022 TOTAL Non-Truncated Claims Expenses]]/ValbyACO_MCaid[[#This Row],[2021 TOTAL Non-Truncated Claims Expenses]]-1),"NA")</f>
        <v>NA</v>
      </c>
      <c r="AP51" s="163" t="str">
        <f>IFERROR(IF(ValbyACO_MCaid[[#This Row],[2021 Member Months (sum of ICC2 + 6)]]=0,"NA",ValbyACO_MCaid[[#This Row],[2022 TOTAL Truncated Claims Expenses]]/ValbyACO_MCaid[[#This Row],[2021 TOTAL Truncated Claims Expenses]]-1),"NA")</f>
        <v>NA</v>
      </c>
      <c r="AQ51" s="163" t="str">
        <f>IFERROR(IF(ValbyACO_MCaid[[#This Row],[2021 Member Months (sum of ICC2 + 6)]]=0,"NA",ValbyACO_MCaid[[#This Row],[2022 TOTAL Non-Claims Expenses]]/ValbyACO_MCaid[[#This Row],[2021 TOTAL Non-Claims Expenses]]-1),"NA")</f>
        <v>NA</v>
      </c>
      <c r="AR51" s="163" t="str">
        <f>IFERROR(IF(ValbyACO_MCaid[[#This Row],[2021 Member Months (sum of ICC2 + 6)]]=0,"NA",ValbyACO_MCaid[[#This Row],[2022 TOTAL Non-Truncated Total Expenses]]/ValbyACO_MCaid[[#This Row],[2021 TOTAL Non-Truncated Total Expenses]]-1),"NA")</f>
        <v>NA</v>
      </c>
      <c r="AS51" s="164" t="str">
        <f>IFERROR(IF(ValbyACO_MCaid[[#This Row],[2021 Member Months (sum of ICC2 + 6)]]=0,"NA",ValbyACO_MCaid[[#This Row],[2022 TOTAL Truncated Total Expenses]]/ValbyACO_MCaid[[#This Row],[2021 TOTAL Truncated Total Expenses]]-1),"NA")</f>
        <v>NA</v>
      </c>
    </row>
    <row r="52" spans="1:45" x14ac:dyDescent="0.35">
      <c r="B52" s="250">
        <v>103</v>
      </c>
      <c r="C52" s="291" t="s">
        <v>168</v>
      </c>
      <c r="D52" s="272">
        <f t="shared" si="6"/>
        <v>0</v>
      </c>
      <c r="E52" s="268" t="str">
        <f>IF(ValbyACO_MCaid[[#This Row],[2021 Member Months (sum of ICC2 + 6)]]=0,"NA",(SUMPRODUCT(E66,D66)+SUMPRODUCT(E80,D80))/ValbyACO_MCaid[[#This Row],[2021 Member Months (sum of ICC2 + 6)]])</f>
        <v>NA</v>
      </c>
      <c r="F52" s="268" t="str">
        <f>IF(ValbyACO_MCaid[[#This Row],[2021 Member Months (sum of ICC2 + 6)]]=0,"NA",(SUMPRODUCT(F66,D66)+SUMPRODUCT(F80,D80))/ValbyACO_MCaid[[#This Row],[2021 Member Months (sum of ICC2 + 6)]])</f>
        <v>NA</v>
      </c>
      <c r="G52" s="268" t="str">
        <f>IF(ValbyACO_MCaid[[#This Row],[2021 Member Months (sum of ICC2 + 6)]]=0,"NA",(SUMPRODUCT(G66,D66)+SUMPRODUCT(G80,D80))/ValbyACO_MCaid[[#This Row],[2021 Member Months (sum of ICC2 + 6)]])</f>
        <v>NA</v>
      </c>
      <c r="H52" s="268" t="str">
        <f>IF(ValbyACO_MCaid[[#This Row],[2021 Member Months (sum of ICC2 + 6)]]=0,"NA",(SUMPRODUCT(H66,D66)+SUMPRODUCT(H80,D80))/ValbyACO_MCaid[[#This Row],[2021 Member Months (sum of ICC2 + 6)]])</f>
        <v>NA</v>
      </c>
      <c r="I52" s="268" t="str">
        <f>IF(ValbyACO_MCaid[[#This Row],[2021 Member Months (sum of ICC2 + 6)]]=0,"NA",(SUMPRODUCT(I66,D66)+SUMPRODUCT(I80,D80))/ValbyACO_MCaid[[#This Row],[2021 Member Months (sum of ICC2 + 6)]])</f>
        <v>NA</v>
      </c>
      <c r="J52" s="268" t="str">
        <f>IF(ValbyACO_MCaid[[#This Row],[2021 Member Months (sum of ICC2 + 6)]]=0,"NA",(SUMPRODUCT(J66,D66)+SUMPRODUCT(J80,D80))/ValbyACO_MCaid[[#This Row],[2021 Member Months (sum of ICC2 + 6)]])</f>
        <v>NA</v>
      </c>
      <c r="K52" s="268" t="str">
        <f>IF(ValbyACO_MCaid[[#This Row],[2021 Member Months (sum of ICC2 + 6)]]=0,"NA",(SUMPRODUCT(K66,D66)+SUMPRODUCT(K80,D80))/ValbyACO_MCaid[[#This Row],[2021 Member Months (sum of ICC2 + 6)]])</f>
        <v>NA</v>
      </c>
      <c r="L52" s="268" t="str">
        <f>IF(ValbyACO_MCaid[[#This Row],[2021 Member Months (sum of ICC2 + 6)]]=0,"NA",(SUMPRODUCT(L66,D66)+SUMPRODUCT(L80,D80))/ValbyACO_MCaid[[#This Row],[2021 Member Months (sum of ICC2 + 6)]])</f>
        <v>NA</v>
      </c>
      <c r="M52" s="118" t="str">
        <f>IF(ValbyACO_MCaid[[#This Row],[2021 Member Months (sum of ICC2 + 6)]]=0,"NA",(SUMPRODUCT(M66,D66)+SUMPRODUCT(M80,D80))/ValbyACO_MCaid[[#This Row],[2021 Member Months (sum of ICC2 + 6)]])</f>
        <v>NA</v>
      </c>
      <c r="N52" s="118" t="str">
        <f>IF(ValbyACO_MCaid[[#This Row],[2021 Member Months (sum of ICC2 + 6)]]=0,"NA",(SUMPRODUCT(N66,D66)+SUMPRODUCT(N80,D80))/ValbyACO_MCaid[[#This Row],[2021 Member Months (sum of ICC2 + 6)]])</f>
        <v>NA</v>
      </c>
      <c r="O52" s="118" t="str">
        <f>IF(ValbyACO_MCaid[[#This Row],[2021 Member Months (sum of ICC2 + 6)]]=0,"NA",(SUMPRODUCT(O66,D66)+SUMPRODUCT(O80,D80))/ValbyACO_MCaid[[#This Row],[2021 Member Months (sum of ICC2 + 6)]])</f>
        <v>NA</v>
      </c>
      <c r="P52" s="118" t="str">
        <f>IF(ValbyACO_MCaid[[#This Row],[2021 Member Months (sum of ICC2 + 6)]]=0,"NA",(SUMPRODUCT(P66,D66)+SUMPRODUCT(P80,D80))/ValbyACO_MCaid[[#This Row],[2021 Member Months (sum of ICC2 + 6)]])</f>
        <v>NA</v>
      </c>
      <c r="Q52" s="119" t="str">
        <f>IF(ValbyACO_MCaid[[#This Row],[2021 Member Months (sum of ICC2 + 6)]]=0,"NA",(SUMPRODUCT(Q66,D66)+SUMPRODUCT(Q80,D80))/ValbyACO_MCaid[[#This Row],[2021 Member Months (sum of ICC2 + 6)]])</f>
        <v>NA</v>
      </c>
      <c r="R52" s="192">
        <f t="shared" si="7"/>
        <v>0</v>
      </c>
      <c r="S52" s="118" t="str">
        <f>IF(ValbyACO_MCaid[[#This Row],[2022 Member Months (sum of ICC2 + 6)]]=0,"NA",(SUMPRODUCT(S66,R66)+SUMPRODUCT(S80,R80))/ValbyACO_MCaid[[#This Row],[2022 Member Months (sum of ICC2 + 6)]])</f>
        <v>NA</v>
      </c>
      <c r="T52" s="118" t="str">
        <f>IF(ValbyACO_MCaid[[#This Row],[2022 Member Months (sum of ICC2 + 6)]]=0,"NA",(SUMPRODUCT(T66,R66)+SUMPRODUCT(T80,R80))/ValbyACO_MCaid[[#This Row],[2022 Member Months (sum of ICC2 + 6)]])</f>
        <v>NA</v>
      </c>
      <c r="U52" s="118" t="str">
        <f>IF(ValbyACO_MCaid[[#This Row],[2022 Member Months (sum of ICC2 + 6)]]=0,"NA",(SUMPRODUCT(U66,R66)+SUMPRODUCT(U80,R80))/ValbyACO_MCaid[[#This Row],[2022 Member Months (sum of ICC2 + 6)]])</f>
        <v>NA</v>
      </c>
      <c r="V52" s="118" t="str">
        <f>IF(ValbyACO_MCaid[[#This Row],[2022 Member Months (sum of ICC2 + 6)]]=0,"NA",(SUMPRODUCT(V66,R66)+SUMPRODUCT(V80,R80))/ValbyACO_MCaid[[#This Row],[2022 Member Months (sum of ICC2 + 6)]])</f>
        <v>NA</v>
      </c>
      <c r="W52" s="118" t="str">
        <f>IF(ValbyACO_MCaid[[#This Row],[2022 Member Months (sum of ICC2 + 6)]]=0,"NA",(SUMPRODUCT(W66,R66)+SUMPRODUCT(W80,R80))/ValbyACO_MCaid[[#This Row],[2022 Member Months (sum of ICC2 + 6)]])</f>
        <v>NA</v>
      </c>
      <c r="X52" s="118" t="str">
        <f>IF(ValbyACO_MCaid[[#This Row],[2022 Member Months (sum of ICC2 + 6)]]=0,"NA",(SUMPRODUCT(X66,R66)+SUMPRODUCT(X80,R80))/ValbyACO_MCaid[[#This Row],[2022 Member Months (sum of ICC2 + 6)]])</f>
        <v>NA</v>
      </c>
      <c r="Y52" s="118" t="str">
        <f>IF(ValbyACO_MCaid[[#This Row],[2022 Member Months (sum of ICC2 + 6)]]=0,"NA",(SUMPRODUCT(Y66,R66)+SUMPRODUCT(Y80,R80))/ValbyACO_MCaid[[#This Row],[2022 Member Months (sum of ICC2 + 6)]])</f>
        <v>NA</v>
      </c>
      <c r="Z52" s="118" t="str">
        <f>IF(ValbyACO_MCaid[[#This Row],[2022 Member Months (sum of ICC2 + 6)]]=0,"NA",(SUMPRODUCT(Z66,R66)+SUMPRODUCT(Z80,R80))/ValbyACO_MCaid[[#This Row],[2022 Member Months (sum of ICC2 + 6)]])</f>
        <v>NA</v>
      </c>
      <c r="AA52" s="118" t="str">
        <f>IF(ValbyACO_MCaid[[#This Row],[2022 Member Months (sum of ICC2 + 6)]]=0,"NA",(SUMPRODUCT(AA66,R66)+SUMPRODUCT(AA80,R80))/ValbyACO_MCaid[[#This Row],[2022 Member Months (sum of ICC2 + 6)]])</f>
        <v>NA</v>
      </c>
      <c r="AB52" s="118" t="str">
        <f>IF(ValbyACO_MCaid[[#This Row],[2022 Member Months (sum of ICC2 + 6)]]=0,"NA",(SUMPRODUCT(AB66,R66)+SUMPRODUCT(AB80,R80))/ValbyACO_MCaid[[#This Row],[2022 Member Months (sum of ICC2 + 6)]])</f>
        <v>NA</v>
      </c>
      <c r="AC52" s="118" t="str">
        <f>IF(ValbyACO_MCaid[[#This Row],[2022 Member Months (sum of ICC2 + 6)]]=0,"NA",(SUMPRODUCT(AC66,R66)+SUMPRODUCT(AC80,R80))/ValbyACO_MCaid[[#This Row],[2022 Member Months (sum of ICC2 + 6)]])</f>
        <v>NA</v>
      </c>
      <c r="AD52" s="118" t="str">
        <f>IF(ValbyACO_MCaid[[#This Row],[2022 Member Months (sum of ICC2 + 6)]]=0,"NA",(SUMPRODUCT(AD66,R66)+SUMPRODUCT(AD80,R80))/ValbyACO_MCaid[[#This Row],[2022 Member Months (sum of ICC2 + 6)]])</f>
        <v>NA</v>
      </c>
      <c r="AE52" s="130" t="str">
        <f>IF(ValbyACO_MCaid[[#This Row],[2022 Member Months (sum of ICC2 + 6)]]=0,"NA",(SUMPRODUCT(AE66,R66)+SUMPRODUCT(AE80,R80))/ValbyACO_MCaid[[#This Row],[2022 Member Months (sum of ICC2 + 6)]])</f>
        <v>NA</v>
      </c>
      <c r="AF52" s="160" t="str">
        <f>IFERROR(IF(ValbyACO_MCaid[[#This Row],[2021 Member Months (sum of ICC2 + 6)]]=0,"NA",ValbyACO_MCaid[[#This Row],[2022 Member Months (sum of ICC2 + 6)]]/ValbyACO_MCaid[[#This Row],[2021 Member Months (sum of ICC2 + 6)]]-1),"NA")</f>
        <v>NA</v>
      </c>
      <c r="AG52" s="161" t="str">
        <f>IFERROR(IF(ValbyACO_MCaid[[#This Row],[2021 Member Months (sum of ICC2 + 6)]]=0,"NA",ValbyACO_MCaid[[#This Row],[2022 Claims: Hospital Inpatient]]/ValbyACO_MCaid[[#This Row],[2021 Claims: Hospital Inpatient]]-1),"NA")</f>
        <v>NA</v>
      </c>
      <c r="AH52" s="162" t="str">
        <f>IFERROR(IF(ValbyACO_MCaid[[#This Row],[2021 Member Months (sum of ICC2 + 6)]]=0,"NA",ValbyACO_MCaid[[#This Row],[2022 Claims: Hospital Outpatient]]/ValbyACO_MCaid[[#This Row],[2021 Claims: Hospital Outpatient]]-1),"NA")</f>
        <v>NA</v>
      </c>
      <c r="AI52" s="162" t="str">
        <f>IFERROR(IF(ValbyACO_MCaid[[#This Row],[2021 Member Months (sum of ICC2 + 6)]]=0,"NA",ValbyACO_MCaid[[#This Row],[2022 Claims: Professional, Primary Care]]/ValbyACO_MCaid[[#This Row],[2021 Claims: Professional, Primary Care]]-1),"NA")</f>
        <v>NA</v>
      </c>
      <c r="AJ52" s="162" t="str">
        <f>IFERROR(IF(ValbyACO_MCaid[[#This Row],[2021 Member Months (sum of ICC2 + 6)]]=0,"NA",ValbyACO_MCaid[[#This Row],[2022 Claims: Professional, Specialty Care]]/ValbyACO_MCaid[[#This Row],[2021 Claims: Professional, Specialty Care]]-1),"NA")</f>
        <v>NA</v>
      </c>
      <c r="AK52" s="162" t="str">
        <f>IFERROR(IF(ValbyACO_MCaid[[#This Row],[2021 Member Months (sum of ICC2 + 6)]]=0,"NA", ValbyACO_MCaid[[#This Row],[2022 Claims: Professional Other]]/ValbyACO_MCaid[[#This Row],[2021 Claims: Professional Other]]-1),"NA")</f>
        <v>NA</v>
      </c>
      <c r="AL52" s="162" t="str">
        <f>IFERROR(IF(ValbyACO_MCaid[[#This Row],[2021 Member Months (sum of ICC2 + 6)]]=0,"NA",ValbyACO_MCaid[[#This Row],[2022 Claims: Pharmacy (Gross of Retail Pharmacy Rebates)]]/ValbyACO_MCaid[[#This Row],[2021 Claims: Pharmacy (Gross of  Rebates)]]-1),"NA")</f>
        <v>NA</v>
      </c>
      <c r="AM52" s="162" t="str">
        <f>IFERROR(IF(ValbyACO_MCaid[[#This Row],[2021 Member Months (sum of ICC2 + 6)]]=0,"NA",ValbyACO_MCaid[[#This Row],[2022 Claims: Long-term Care]]/ValbyACO_MCaid[[#This Row],[2021 Claims: Long-term Care]]-1),"NA")</f>
        <v>NA</v>
      </c>
      <c r="AN52" s="162" t="str">
        <f>IFERROR(IF(ValbyACO_MCaid[[#This Row],[2021 Member Months (sum of ICC2 + 6)]]=0,"NA",ValbyACO_MCaid[[#This Row],[2022 Claims: Other]]/ValbyACO_MCaid[[#This Row],[2021 Claims: Other]]-1),"NA")</f>
        <v>NA</v>
      </c>
      <c r="AO52" s="163" t="str">
        <f>IFERROR(IF(ValbyACO_MCaid[[#This Row],[2021 Member Months (sum of ICC2 + 6)]]=0,"NA",ValbyACO_MCaid[[#This Row],[2022 TOTAL Non-Truncated Claims Expenses]]/ValbyACO_MCaid[[#This Row],[2021 TOTAL Non-Truncated Claims Expenses]]-1),"NA")</f>
        <v>NA</v>
      </c>
      <c r="AP52" s="163" t="str">
        <f>IFERROR(IF(ValbyACO_MCaid[[#This Row],[2021 Member Months (sum of ICC2 + 6)]]=0,"NA",ValbyACO_MCaid[[#This Row],[2022 TOTAL Truncated Claims Expenses]]/ValbyACO_MCaid[[#This Row],[2021 TOTAL Truncated Claims Expenses]]-1),"NA")</f>
        <v>NA</v>
      </c>
      <c r="AQ52" s="163" t="str">
        <f>IFERROR(IF(ValbyACO_MCaid[[#This Row],[2021 Member Months (sum of ICC2 + 6)]]=0,"NA",ValbyACO_MCaid[[#This Row],[2022 TOTAL Non-Claims Expenses]]/ValbyACO_MCaid[[#This Row],[2021 TOTAL Non-Claims Expenses]]-1),"NA")</f>
        <v>NA</v>
      </c>
      <c r="AR52" s="163" t="str">
        <f>IFERROR(IF(ValbyACO_MCaid[[#This Row],[2021 Member Months (sum of ICC2 + 6)]]=0,"NA",ValbyACO_MCaid[[#This Row],[2022 TOTAL Non-Truncated Total Expenses]]/ValbyACO_MCaid[[#This Row],[2021 TOTAL Non-Truncated Total Expenses]]-1),"NA")</f>
        <v>NA</v>
      </c>
      <c r="AS52" s="164" t="str">
        <f>IFERROR(IF(ValbyACO_MCaid[[#This Row],[2021 Member Months (sum of ICC2 + 6)]]=0,"NA",ValbyACO_MCaid[[#This Row],[2022 TOTAL Truncated Total Expenses]]/ValbyACO_MCaid[[#This Row],[2021 TOTAL Truncated Total Expenses]]-1),"NA")</f>
        <v>NA</v>
      </c>
    </row>
    <row r="53" spans="1:45" x14ac:dyDescent="0.35">
      <c r="B53" s="250">
        <v>104</v>
      </c>
      <c r="C53" s="291" t="s">
        <v>191</v>
      </c>
      <c r="D53" s="272">
        <f t="shared" si="6"/>
        <v>0</v>
      </c>
      <c r="E53" s="268" t="str">
        <f>IF(ValbyACO_MCaid[[#This Row],[2021 Member Months (sum of ICC2 + 6)]]=0,"NA",(SUMPRODUCT(E67,D67)+SUMPRODUCT(E81,D81))/ValbyACO_MCaid[[#This Row],[2021 Member Months (sum of ICC2 + 6)]])</f>
        <v>NA</v>
      </c>
      <c r="F53" s="268" t="str">
        <f>IF(ValbyACO_MCaid[[#This Row],[2021 Member Months (sum of ICC2 + 6)]]=0,"NA",(SUMPRODUCT(F67,D67)+SUMPRODUCT(F81,D81))/ValbyACO_MCaid[[#This Row],[2021 Member Months (sum of ICC2 + 6)]])</f>
        <v>NA</v>
      </c>
      <c r="G53" s="268" t="str">
        <f>IF(ValbyACO_MCaid[[#This Row],[2021 Member Months (sum of ICC2 + 6)]]=0,"NA",(SUMPRODUCT(G67,D67)+SUMPRODUCT(G81,D81))/ValbyACO_MCaid[[#This Row],[2021 Member Months (sum of ICC2 + 6)]])</f>
        <v>NA</v>
      </c>
      <c r="H53" s="268" t="str">
        <f>IF(ValbyACO_MCaid[[#This Row],[2021 Member Months (sum of ICC2 + 6)]]=0,"NA",(SUMPRODUCT(H67,D67)+SUMPRODUCT(H81,D81))/ValbyACO_MCaid[[#This Row],[2021 Member Months (sum of ICC2 + 6)]])</f>
        <v>NA</v>
      </c>
      <c r="I53" s="268" t="str">
        <f>IF(ValbyACO_MCaid[[#This Row],[2021 Member Months (sum of ICC2 + 6)]]=0,"NA",(SUMPRODUCT(I67,D67)+SUMPRODUCT(I81,D81))/ValbyACO_MCaid[[#This Row],[2021 Member Months (sum of ICC2 + 6)]])</f>
        <v>NA</v>
      </c>
      <c r="J53" s="268" t="str">
        <f>IF(ValbyACO_MCaid[[#This Row],[2021 Member Months (sum of ICC2 + 6)]]=0,"NA",(SUMPRODUCT(J67,D67)+SUMPRODUCT(J81,D81))/ValbyACO_MCaid[[#This Row],[2021 Member Months (sum of ICC2 + 6)]])</f>
        <v>NA</v>
      </c>
      <c r="K53" s="268" t="str">
        <f>IF(ValbyACO_MCaid[[#This Row],[2021 Member Months (sum of ICC2 + 6)]]=0,"NA",(SUMPRODUCT(K67,D67)+SUMPRODUCT(K81,D81))/ValbyACO_MCaid[[#This Row],[2021 Member Months (sum of ICC2 + 6)]])</f>
        <v>NA</v>
      </c>
      <c r="L53" s="268" t="str">
        <f>IF(ValbyACO_MCaid[[#This Row],[2021 Member Months (sum of ICC2 + 6)]]=0,"NA",(SUMPRODUCT(L67,D67)+SUMPRODUCT(L81,D81))/ValbyACO_MCaid[[#This Row],[2021 Member Months (sum of ICC2 + 6)]])</f>
        <v>NA</v>
      </c>
      <c r="M53" s="118" t="str">
        <f>IF(ValbyACO_MCaid[[#This Row],[2021 Member Months (sum of ICC2 + 6)]]=0,"NA",(SUMPRODUCT(M67,D67)+SUMPRODUCT(M81,D81))/ValbyACO_MCaid[[#This Row],[2021 Member Months (sum of ICC2 + 6)]])</f>
        <v>NA</v>
      </c>
      <c r="N53" s="118" t="str">
        <f>IF(ValbyACO_MCaid[[#This Row],[2021 Member Months (sum of ICC2 + 6)]]=0,"NA",(SUMPRODUCT(N67,D67)+SUMPRODUCT(N81,D81))/ValbyACO_MCaid[[#This Row],[2021 Member Months (sum of ICC2 + 6)]])</f>
        <v>NA</v>
      </c>
      <c r="O53" s="118" t="str">
        <f>IF(ValbyACO_MCaid[[#This Row],[2021 Member Months (sum of ICC2 + 6)]]=0,"NA",(SUMPRODUCT(O67,D67)+SUMPRODUCT(O81,D81))/ValbyACO_MCaid[[#This Row],[2021 Member Months (sum of ICC2 + 6)]])</f>
        <v>NA</v>
      </c>
      <c r="P53" s="118" t="str">
        <f>IF(ValbyACO_MCaid[[#This Row],[2021 Member Months (sum of ICC2 + 6)]]=0,"NA",(SUMPRODUCT(P67,D67)+SUMPRODUCT(P81,D81))/ValbyACO_MCaid[[#This Row],[2021 Member Months (sum of ICC2 + 6)]])</f>
        <v>NA</v>
      </c>
      <c r="Q53" s="119" t="str">
        <f>IF(ValbyACO_MCaid[[#This Row],[2021 Member Months (sum of ICC2 + 6)]]=0,"NA",(SUMPRODUCT(Q67,D67)+SUMPRODUCT(Q81,D81))/ValbyACO_MCaid[[#This Row],[2021 Member Months (sum of ICC2 + 6)]])</f>
        <v>NA</v>
      </c>
      <c r="R53" s="192">
        <f t="shared" si="7"/>
        <v>0</v>
      </c>
      <c r="S53" s="118" t="str">
        <f>IF(ValbyACO_MCaid[[#This Row],[2022 Member Months (sum of ICC2 + 6)]]=0,"NA",(SUMPRODUCT(S67,R67)+SUMPRODUCT(S81,R81))/ValbyACO_MCaid[[#This Row],[2022 Member Months (sum of ICC2 + 6)]])</f>
        <v>NA</v>
      </c>
      <c r="T53" s="118" t="str">
        <f>IF(ValbyACO_MCaid[[#This Row],[2022 Member Months (sum of ICC2 + 6)]]=0,"NA",(SUMPRODUCT(T67,R67)+SUMPRODUCT(T81,R81))/ValbyACO_MCaid[[#This Row],[2022 Member Months (sum of ICC2 + 6)]])</f>
        <v>NA</v>
      </c>
      <c r="U53" s="118" t="str">
        <f>IF(ValbyACO_MCaid[[#This Row],[2022 Member Months (sum of ICC2 + 6)]]=0,"NA",(SUMPRODUCT(U67,R67)+SUMPRODUCT(U81,R81))/ValbyACO_MCaid[[#This Row],[2022 Member Months (sum of ICC2 + 6)]])</f>
        <v>NA</v>
      </c>
      <c r="V53" s="118" t="str">
        <f>IF(ValbyACO_MCaid[[#This Row],[2022 Member Months (sum of ICC2 + 6)]]=0,"NA",(SUMPRODUCT(V67,R67)+SUMPRODUCT(V81,R81))/ValbyACO_MCaid[[#This Row],[2022 Member Months (sum of ICC2 + 6)]])</f>
        <v>NA</v>
      </c>
      <c r="W53" s="118" t="str">
        <f>IF(ValbyACO_MCaid[[#This Row],[2022 Member Months (sum of ICC2 + 6)]]=0,"NA",(SUMPRODUCT(W67,R67)+SUMPRODUCT(W81,R81))/ValbyACO_MCaid[[#This Row],[2022 Member Months (sum of ICC2 + 6)]])</f>
        <v>NA</v>
      </c>
      <c r="X53" s="118" t="str">
        <f>IF(ValbyACO_MCaid[[#This Row],[2022 Member Months (sum of ICC2 + 6)]]=0,"NA",(SUMPRODUCT(X67,R67)+SUMPRODUCT(X81,R81))/ValbyACO_MCaid[[#This Row],[2022 Member Months (sum of ICC2 + 6)]])</f>
        <v>NA</v>
      </c>
      <c r="Y53" s="118" t="str">
        <f>IF(ValbyACO_MCaid[[#This Row],[2022 Member Months (sum of ICC2 + 6)]]=0,"NA",(SUMPRODUCT(Y67,R67)+SUMPRODUCT(Y81,R81))/ValbyACO_MCaid[[#This Row],[2022 Member Months (sum of ICC2 + 6)]])</f>
        <v>NA</v>
      </c>
      <c r="Z53" s="118" t="str">
        <f>IF(ValbyACO_MCaid[[#This Row],[2022 Member Months (sum of ICC2 + 6)]]=0,"NA",(SUMPRODUCT(Z67,R67)+SUMPRODUCT(Z81,R81))/ValbyACO_MCaid[[#This Row],[2022 Member Months (sum of ICC2 + 6)]])</f>
        <v>NA</v>
      </c>
      <c r="AA53" s="118" t="str">
        <f>IF(ValbyACO_MCaid[[#This Row],[2022 Member Months (sum of ICC2 + 6)]]=0,"NA",(SUMPRODUCT(AA67,R67)+SUMPRODUCT(AA81,R81))/ValbyACO_MCaid[[#This Row],[2022 Member Months (sum of ICC2 + 6)]])</f>
        <v>NA</v>
      </c>
      <c r="AB53" s="118" t="str">
        <f>IF(ValbyACO_MCaid[[#This Row],[2022 Member Months (sum of ICC2 + 6)]]=0,"NA",(SUMPRODUCT(AB67,R67)+SUMPRODUCT(AB81,R81))/ValbyACO_MCaid[[#This Row],[2022 Member Months (sum of ICC2 + 6)]])</f>
        <v>NA</v>
      </c>
      <c r="AC53" s="118" t="str">
        <f>IF(ValbyACO_MCaid[[#This Row],[2022 Member Months (sum of ICC2 + 6)]]=0,"NA",(SUMPRODUCT(AC67,R67)+SUMPRODUCT(AC81,R81))/ValbyACO_MCaid[[#This Row],[2022 Member Months (sum of ICC2 + 6)]])</f>
        <v>NA</v>
      </c>
      <c r="AD53" s="118" t="str">
        <f>IF(ValbyACO_MCaid[[#This Row],[2022 Member Months (sum of ICC2 + 6)]]=0,"NA",(SUMPRODUCT(AD67,R67)+SUMPRODUCT(AD81,R81))/ValbyACO_MCaid[[#This Row],[2022 Member Months (sum of ICC2 + 6)]])</f>
        <v>NA</v>
      </c>
      <c r="AE53" s="130" t="str">
        <f>IF(ValbyACO_MCaid[[#This Row],[2022 Member Months (sum of ICC2 + 6)]]=0,"NA",(SUMPRODUCT(AE67,R67)+SUMPRODUCT(AE81,R81))/ValbyACO_MCaid[[#This Row],[2022 Member Months (sum of ICC2 + 6)]])</f>
        <v>NA</v>
      </c>
      <c r="AF53" s="160" t="str">
        <f>IFERROR(IF(ValbyACO_MCaid[[#This Row],[2021 Member Months (sum of ICC2 + 6)]]=0,"NA",ValbyACO_MCaid[[#This Row],[2022 Member Months (sum of ICC2 + 6)]]/ValbyACO_MCaid[[#This Row],[2021 Member Months (sum of ICC2 + 6)]]-1),"NA")</f>
        <v>NA</v>
      </c>
      <c r="AG53" s="161" t="str">
        <f>IFERROR(IF(ValbyACO_MCaid[[#This Row],[2021 Member Months (sum of ICC2 + 6)]]=0,"NA",ValbyACO_MCaid[[#This Row],[2022 Claims: Hospital Inpatient]]/ValbyACO_MCaid[[#This Row],[2021 Claims: Hospital Inpatient]]-1),"NA")</f>
        <v>NA</v>
      </c>
      <c r="AH53" s="162" t="str">
        <f>IFERROR(IF(ValbyACO_MCaid[[#This Row],[2021 Member Months (sum of ICC2 + 6)]]=0,"NA",ValbyACO_MCaid[[#This Row],[2022 Claims: Hospital Outpatient]]/ValbyACO_MCaid[[#This Row],[2021 Claims: Hospital Outpatient]]-1),"NA")</f>
        <v>NA</v>
      </c>
      <c r="AI53" s="162" t="str">
        <f>IFERROR(IF(ValbyACO_MCaid[[#This Row],[2021 Member Months (sum of ICC2 + 6)]]=0,"NA",ValbyACO_MCaid[[#This Row],[2022 Claims: Professional, Primary Care]]/ValbyACO_MCaid[[#This Row],[2021 Claims: Professional, Primary Care]]-1),"NA")</f>
        <v>NA</v>
      </c>
      <c r="AJ53" s="162" t="str">
        <f>IFERROR(IF(ValbyACO_MCaid[[#This Row],[2021 Member Months (sum of ICC2 + 6)]]=0,"NA",ValbyACO_MCaid[[#This Row],[2022 Claims: Professional, Specialty Care]]/ValbyACO_MCaid[[#This Row],[2021 Claims: Professional, Specialty Care]]-1),"NA")</f>
        <v>NA</v>
      </c>
      <c r="AK53" s="162" t="str">
        <f>IFERROR(IF(ValbyACO_MCaid[[#This Row],[2021 Member Months (sum of ICC2 + 6)]]=0,"NA", ValbyACO_MCaid[[#This Row],[2022 Claims: Professional Other]]/ValbyACO_MCaid[[#This Row],[2021 Claims: Professional Other]]-1),"NA")</f>
        <v>NA</v>
      </c>
      <c r="AL53" s="162" t="str">
        <f>IFERROR(IF(ValbyACO_MCaid[[#This Row],[2021 Member Months (sum of ICC2 + 6)]]=0,"NA",ValbyACO_MCaid[[#This Row],[2022 Claims: Pharmacy (Gross of Retail Pharmacy Rebates)]]/ValbyACO_MCaid[[#This Row],[2021 Claims: Pharmacy (Gross of  Rebates)]]-1),"NA")</f>
        <v>NA</v>
      </c>
      <c r="AM53" s="162" t="str">
        <f>IFERROR(IF(ValbyACO_MCaid[[#This Row],[2021 Member Months (sum of ICC2 + 6)]]=0,"NA",ValbyACO_MCaid[[#This Row],[2022 Claims: Long-term Care]]/ValbyACO_MCaid[[#This Row],[2021 Claims: Long-term Care]]-1),"NA")</f>
        <v>NA</v>
      </c>
      <c r="AN53" s="162" t="str">
        <f>IFERROR(IF(ValbyACO_MCaid[[#This Row],[2021 Member Months (sum of ICC2 + 6)]]=0,"NA",ValbyACO_MCaid[[#This Row],[2022 Claims: Other]]/ValbyACO_MCaid[[#This Row],[2021 Claims: Other]]-1),"NA")</f>
        <v>NA</v>
      </c>
      <c r="AO53" s="163" t="str">
        <f>IFERROR(IF(ValbyACO_MCaid[[#This Row],[2021 Member Months (sum of ICC2 + 6)]]=0,"NA",ValbyACO_MCaid[[#This Row],[2022 TOTAL Non-Truncated Claims Expenses]]/ValbyACO_MCaid[[#This Row],[2021 TOTAL Non-Truncated Claims Expenses]]-1),"NA")</f>
        <v>NA</v>
      </c>
      <c r="AP53" s="163" t="str">
        <f>IFERROR(IF(ValbyACO_MCaid[[#This Row],[2021 Member Months (sum of ICC2 + 6)]]=0,"NA",ValbyACO_MCaid[[#This Row],[2022 TOTAL Truncated Claims Expenses]]/ValbyACO_MCaid[[#This Row],[2021 TOTAL Truncated Claims Expenses]]-1),"NA")</f>
        <v>NA</v>
      </c>
      <c r="AQ53" s="163" t="str">
        <f>IFERROR(IF(ValbyACO_MCaid[[#This Row],[2021 Member Months (sum of ICC2 + 6)]]=0,"NA",ValbyACO_MCaid[[#This Row],[2022 TOTAL Non-Claims Expenses]]/ValbyACO_MCaid[[#This Row],[2021 TOTAL Non-Claims Expenses]]-1),"NA")</f>
        <v>NA</v>
      </c>
      <c r="AR53" s="163" t="str">
        <f>IFERROR(IF(ValbyACO_MCaid[[#This Row],[2021 Member Months (sum of ICC2 + 6)]]=0,"NA",ValbyACO_MCaid[[#This Row],[2022 TOTAL Non-Truncated Total Expenses]]/ValbyACO_MCaid[[#This Row],[2021 TOTAL Non-Truncated Total Expenses]]-1),"NA")</f>
        <v>NA</v>
      </c>
      <c r="AS53" s="164" t="str">
        <f>IFERROR(IF(ValbyACO_MCaid[[#This Row],[2021 Member Months (sum of ICC2 + 6)]]=0,"NA",ValbyACO_MCaid[[#This Row],[2022 TOTAL Truncated Total Expenses]]/ValbyACO_MCaid[[#This Row],[2021 TOTAL Truncated Total Expenses]]-1),"NA")</f>
        <v>NA</v>
      </c>
    </row>
    <row r="54" spans="1:45" x14ac:dyDescent="0.35">
      <c r="B54" s="250">
        <v>105</v>
      </c>
      <c r="C54" s="291" t="s">
        <v>169</v>
      </c>
      <c r="D54" s="272">
        <f t="shared" si="6"/>
        <v>0</v>
      </c>
      <c r="E54" s="268" t="str">
        <f>IF(ValbyACO_MCaid[[#This Row],[2021 Member Months (sum of ICC2 + 6)]]=0,"NA",(SUMPRODUCT(E68,D68)+SUMPRODUCT(E82,D82))/ValbyACO_MCaid[[#This Row],[2021 Member Months (sum of ICC2 + 6)]])</f>
        <v>NA</v>
      </c>
      <c r="F54" s="268" t="str">
        <f>IF(ValbyACO_MCaid[[#This Row],[2021 Member Months (sum of ICC2 + 6)]]=0,"NA",(SUMPRODUCT(F68,D68)+SUMPRODUCT(F82,D82))/ValbyACO_MCaid[[#This Row],[2021 Member Months (sum of ICC2 + 6)]])</f>
        <v>NA</v>
      </c>
      <c r="G54" s="268" t="str">
        <f>IF(ValbyACO_MCaid[[#This Row],[2021 Member Months (sum of ICC2 + 6)]]=0,"NA",(SUMPRODUCT(G68,D68)+SUMPRODUCT(G82,D82))/ValbyACO_MCaid[[#This Row],[2021 Member Months (sum of ICC2 + 6)]])</f>
        <v>NA</v>
      </c>
      <c r="H54" s="268" t="str">
        <f>IF(ValbyACO_MCaid[[#This Row],[2021 Member Months (sum of ICC2 + 6)]]=0,"NA",(SUMPRODUCT(H68,D68)+SUMPRODUCT(H82,D82))/ValbyACO_MCaid[[#This Row],[2021 Member Months (sum of ICC2 + 6)]])</f>
        <v>NA</v>
      </c>
      <c r="I54" s="268" t="str">
        <f>IF(ValbyACO_MCaid[[#This Row],[2021 Member Months (sum of ICC2 + 6)]]=0,"NA",(SUMPRODUCT(I68,D68)+SUMPRODUCT(I82,D82))/ValbyACO_MCaid[[#This Row],[2021 Member Months (sum of ICC2 + 6)]])</f>
        <v>NA</v>
      </c>
      <c r="J54" s="268" t="str">
        <f>IF(ValbyACO_MCaid[[#This Row],[2021 Member Months (sum of ICC2 + 6)]]=0,"NA",(SUMPRODUCT(J68,D68)+SUMPRODUCT(J82,D82))/ValbyACO_MCaid[[#This Row],[2021 Member Months (sum of ICC2 + 6)]])</f>
        <v>NA</v>
      </c>
      <c r="K54" s="268" t="str">
        <f>IF(ValbyACO_MCaid[[#This Row],[2021 Member Months (sum of ICC2 + 6)]]=0,"NA",(SUMPRODUCT(K68,D68)+SUMPRODUCT(K82,D82))/ValbyACO_MCaid[[#This Row],[2021 Member Months (sum of ICC2 + 6)]])</f>
        <v>NA</v>
      </c>
      <c r="L54" s="268" t="str">
        <f>IF(ValbyACO_MCaid[[#This Row],[2021 Member Months (sum of ICC2 + 6)]]=0,"NA",(SUMPRODUCT(L68,D68)+SUMPRODUCT(L82,D82))/ValbyACO_MCaid[[#This Row],[2021 Member Months (sum of ICC2 + 6)]])</f>
        <v>NA</v>
      </c>
      <c r="M54" s="118" t="str">
        <f>IF(ValbyACO_MCaid[[#This Row],[2021 Member Months (sum of ICC2 + 6)]]=0,"NA",(SUMPRODUCT(M68,D68)+SUMPRODUCT(M82,D82))/ValbyACO_MCaid[[#This Row],[2021 Member Months (sum of ICC2 + 6)]])</f>
        <v>NA</v>
      </c>
      <c r="N54" s="118" t="str">
        <f>IF(ValbyACO_MCaid[[#This Row],[2021 Member Months (sum of ICC2 + 6)]]=0,"NA",(SUMPRODUCT(N68,D68)+SUMPRODUCT(N82,D82))/ValbyACO_MCaid[[#This Row],[2021 Member Months (sum of ICC2 + 6)]])</f>
        <v>NA</v>
      </c>
      <c r="O54" s="118" t="str">
        <f>IF(ValbyACO_MCaid[[#This Row],[2021 Member Months (sum of ICC2 + 6)]]=0,"NA",(SUMPRODUCT(O68,D68)+SUMPRODUCT(O82,D82))/ValbyACO_MCaid[[#This Row],[2021 Member Months (sum of ICC2 + 6)]])</f>
        <v>NA</v>
      </c>
      <c r="P54" s="118" t="str">
        <f>IF(ValbyACO_MCaid[[#This Row],[2021 Member Months (sum of ICC2 + 6)]]=0,"NA",(SUMPRODUCT(P68,D68)+SUMPRODUCT(P82,D82))/ValbyACO_MCaid[[#This Row],[2021 Member Months (sum of ICC2 + 6)]])</f>
        <v>NA</v>
      </c>
      <c r="Q54" s="119" t="str">
        <f>IF(ValbyACO_MCaid[[#This Row],[2021 Member Months (sum of ICC2 + 6)]]=0,"NA",(SUMPRODUCT(Q68,D68)+SUMPRODUCT(Q82,D82))/ValbyACO_MCaid[[#This Row],[2021 Member Months (sum of ICC2 + 6)]])</f>
        <v>NA</v>
      </c>
      <c r="R54" s="192">
        <f t="shared" si="7"/>
        <v>0</v>
      </c>
      <c r="S54" s="118" t="str">
        <f>IF(ValbyACO_MCaid[[#This Row],[2022 Member Months (sum of ICC2 + 6)]]=0,"NA",(SUMPRODUCT(S68,R68)+SUMPRODUCT(S82,R82))/ValbyACO_MCaid[[#This Row],[2022 Member Months (sum of ICC2 + 6)]])</f>
        <v>NA</v>
      </c>
      <c r="T54" s="118" t="str">
        <f>IF(ValbyACO_MCaid[[#This Row],[2022 Member Months (sum of ICC2 + 6)]]=0,"NA",(SUMPRODUCT(T68,R68)+SUMPRODUCT(T82,R82))/ValbyACO_MCaid[[#This Row],[2022 Member Months (sum of ICC2 + 6)]])</f>
        <v>NA</v>
      </c>
      <c r="U54" s="118" t="str">
        <f>IF(ValbyACO_MCaid[[#This Row],[2022 Member Months (sum of ICC2 + 6)]]=0,"NA",(SUMPRODUCT(U68,R68)+SUMPRODUCT(U82,R82))/ValbyACO_MCaid[[#This Row],[2022 Member Months (sum of ICC2 + 6)]])</f>
        <v>NA</v>
      </c>
      <c r="V54" s="118" t="str">
        <f>IF(ValbyACO_MCaid[[#This Row],[2022 Member Months (sum of ICC2 + 6)]]=0,"NA",(SUMPRODUCT(V68,R68)+SUMPRODUCT(V82,R82))/ValbyACO_MCaid[[#This Row],[2022 Member Months (sum of ICC2 + 6)]])</f>
        <v>NA</v>
      </c>
      <c r="W54" s="118" t="str">
        <f>IF(ValbyACO_MCaid[[#This Row],[2022 Member Months (sum of ICC2 + 6)]]=0,"NA",(SUMPRODUCT(W68,R68)+SUMPRODUCT(W82,R82))/ValbyACO_MCaid[[#This Row],[2022 Member Months (sum of ICC2 + 6)]])</f>
        <v>NA</v>
      </c>
      <c r="X54" s="118" t="str">
        <f>IF(ValbyACO_MCaid[[#This Row],[2022 Member Months (sum of ICC2 + 6)]]=0,"NA",(SUMPRODUCT(X68,R68)+SUMPRODUCT(X82,R82))/ValbyACO_MCaid[[#This Row],[2022 Member Months (sum of ICC2 + 6)]])</f>
        <v>NA</v>
      </c>
      <c r="Y54" s="118" t="str">
        <f>IF(ValbyACO_MCaid[[#This Row],[2022 Member Months (sum of ICC2 + 6)]]=0,"NA",(SUMPRODUCT(Y68,R68)+SUMPRODUCT(Y82,R82))/ValbyACO_MCaid[[#This Row],[2022 Member Months (sum of ICC2 + 6)]])</f>
        <v>NA</v>
      </c>
      <c r="Z54" s="118" t="str">
        <f>IF(ValbyACO_MCaid[[#This Row],[2022 Member Months (sum of ICC2 + 6)]]=0,"NA",(SUMPRODUCT(Z68,R68)+SUMPRODUCT(Z82,R82))/ValbyACO_MCaid[[#This Row],[2022 Member Months (sum of ICC2 + 6)]])</f>
        <v>NA</v>
      </c>
      <c r="AA54" s="118" t="str">
        <f>IF(ValbyACO_MCaid[[#This Row],[2022 Member Months (sum of ICC2 + 6)]]=0,"NA",(SUMPRODUCT(AA68,R68)+SUMPRODUCT(AA82,R82))/ValbyACO_MCaid[[#This Row],[2022 Member Months (sum of ICC2 + 6)]])</f>
        <v>NA</v>
      </c>
      <c r="AB54" s="118" t="str">
        <f>IF(ValbyACO_MCaid[[#This Row],[2022 Member Months (sum of ICC2 + 6)]]=0,"NA",(SUMPRODUCT(AB68,R68)+SUMPRODUCT(AB82,R82))/ValbyACO_MCaid[[#This Row],[2022 Member Months (sum of ICC2 + 6)]])</f>
        <v>NA</v>
      </c>
      <c r="AC54" s="118" t="str">
        <f>IF(ValbyACO_MCaid[[#This Row],[2022 Member Months (sum of ICC2 + 6)]]=0,"NA",(SUMPRODUCT(AC68,R68)+SUMPRODUCT(AC82,R82))/ValbyACO_MCaid[[#This Row],[2022 Member Months (sum of ICC2 + 6)]])</f>
        <v>NA</v>
      </c>
      <c r="AD54" s="118" t="str">
        <f>IF(ValbyACO_MCaid[[#This Row],[2022 Member Months (sum of ICC2 + 6)]]=0,"NA",(SUMPRODUCT(AD68,R68)+SUMPRODUCT(AD82,R82))/ValbyACO_MCaid[[#This Row],[2022 Member Months (sum of ICC2 + 6)]])</f>
        <v>NA</v>
      </c>
      <c r="AE54" s="130" t="str">
        <f>IF(ValbyACO_MCaid[[#This Row],[2022 Member Months (sum of ICC2 + 6)]]=0,"NA",(SUMPRODUCT(AE68,R68)+SUMPRODUCT(AE82,R82))/ValbyACO_MCaid[[#This Row],[2022 Member Months (sum of ICC2 + 6)]])</f>
        <v>NA</v>
      </c>
      <c r="AF54" s="160" t="str">
        <f>IFERROR(IF(ValbyACO_MCaid[[#This Row],[2021 Member Months (sum of ICC2 + 6)]]=0,"NA",ValbyACO_MCaid[[#This Row],[2022 Member Months (sum of ICC2 + 6)]]/ValbyACO_MCaid[[#This Row],[2021 Member Months (sum of ICC2 + 6)]]-1),"NA")</f>
        <v>NA</v>
      </c>
      <c r="AG54" s="161" t="str">
        <f>IFERROR(IF(ValbyACO_MCaid[[#This Row],[2021 Member Months (sum of ICC2 + 6)]]=0,"NA",ValbyACO_MCaid[[#This Row],[2022 Claims: Hospital Inpatient]]/ValbyACO_MCaid[[#This Row],[2021 Claims: Hospital Inpatient]]-1),"NA")</f>
        <v>NA</v>
      </c>
      <c r="AH54" s="162" t="str">
        <f>IFERROR(IF(ValbyACO_MCaid[[#This Row],[2021 Member Months (sum of ICC2 + 6)]]=0,"NA",ValbyACO_MCaid[[#This Row],[2022 Claims: Hospital Outpatient]]/ValbyACO_MCaid[[#This Row],[2021 Claims: Hospital Outpatient]]-1),"NA")</f>
        <v>NA</v>
      </c>
      <c r="AI54" s="162" t="str">
        <f>IFERROR(IF(ValbyACO_MCaid[[#This Row],[2021 Member Months (sum of ICC2 + 6)]]=0,"NA",ValbyACO_MCaid[[#This Row],[2022 Claims: Professional, Primary Care]]/ValbyACO_MCaid[[#This Row],[2021 Claims: Professional, Primary Care]]-1),"NA")</f>
        <v>NA</v>
      </c>
      <c r="AJ54" s="162" t="str">
        <f>IFERROR(IF(ValbyACO_MCaid[[#This Row],[2021 Member Months (sum of ICC2 + 6)]]=0,"NA",ValbyACO_MCaid[[#This Row],[2022 Claims: Professional, Specialty Care]]/ValbyACO_MCaid[[#This Row],[2021 Claims: Professional, Specialty Care]]-1),"NA")</f>
        <v>NA</v>
      </c>
      <c r="AK54" s="162" t="str">
        <f>IFERROR(IF(ValbyACO_MCaid[[#This Row],[2021 Member Months (sum of ICC2 + 6)]]=0,"NA", ValbyACO_MCaid[[#This Row],[2022 Claims: Professional Other]]/ValbyACO_MCaid[[#This Row],[2021 Claims: Professional Other]]-1),"NA")</f>
        <v>NA</v>
      </c>
      <c r="AL54" s="162" t="str">
        <f>IFERROR(IF(ValbyACO_MCaid[[#This Row],[2021 Member Months (sum of ICC2 + 6)]]=0,"NA",ValbyACO_MCaid[[#This Row],[2022 Claims: Pharmacy (Gross of Retail Pharmacy Rebates)]]/ValbyACO_MCaid[[#This Row],[2021 Claims: Pharmacy (Gross of  Rebates)]]-1),"NA")</f>
        <v>NA</v>
      </c>
      <c r="AM54" s="162" t="str">
        <f>IFERROR(IF(ValbyACO_MCaid[[#This Row],[2021 Member Months (sum of ICC2 + 6)]]=0,"NA",ValbyACO_MCaid[[#This Row],[2022 Claims: Long-term Care]]/ValbyACO_MCaid[[#This Row],[2021 Claims: Long-term Care]]-1),"NA")</f>
        <v>NA</v>
      </c>
      <c r="AN54" s="162" t="str">
        <f>IFERROR(IF(ValbyACO_MCaid[[#This Row],[2021 Member Months (sum of ICC2 + 6)]]=0,"NA",ValbyACO_MCaid[[#This Row],[2022 Claims: Other]]/ValbyACO_MCaid[[#This Row],[2021 Claims: Other]]-1),"NA")</f>
        <v>NA</v>
      </c>
      <c r="AO54" s="163" t="str">
        <f>IFERROR(IF(ValbyACO_MCaid[[#This Row],[2021 Member Months (sum of ICC2 + 6)]]=0,"NA",ValbyACO_MCaid[[#This Row],[2022 TOTAL Non-Truncated Claims Expenses]]/ValbyACO_MCaid[[#This Row],[2021 TOTAL Non-Truncated Claims Expenses]]-1),"NA")</f>
        <v>NA</v>
      </c>
      <c r="AP54" s="163" t="str">
        <f>IFERROR(IF(ValbyACO_MCaid[[#This Row],[2021 Member Months (sum of ICC2 + 6)]]=0,"NA",ValbyACO_MCaid[[#This Row],[2022 TOTAL Truncated Claims Expenses]]/ValbyACO_MCaid[[#This Row],[2021 TOTAL Truncated Claims Expenses]]-1),"NA")</f>
        <v>NA</v>
      </c>
      <c r="AQ54" s="163" t="str">
        <f>IFERROR(IF(ValbyACO_MCaid[[#This Row],[2021 Member Months (sum of ICC2 + 6)]]=0,"NA",ValbyACO_MCaid[[#This Row],[2022 TOTAL Non-Claims Expenses]]/ValbyACO_MCaid[[#This Row],[2021 TOTAL Non-Claims Expenses]]-1),"NA")</f>
        <v>NA</v>
      </c>
      <c r="AR54" s="163" t="str">
        <f>IFERROR(IF(ValbyACO_MCaid[[#This Row],[2021 Member Months (sum of ICC2 + 6)]]=0,"NA",ValbyACO_MCaid[[#This Row],[2022 TOTAL Non-Truncated Total Expenses]]/ValbyACO_MCaid[[#This Row],[2021 TOTAL Non-Truncated Total Expenses]]-1),"NA")</f>
        <v>NA</v>
      </c>
      <c r="AS54" s="164" t="str">
        <f>IFERROR(IF(ValbyACO_MCaid[[#This Row],[2021 Member Months (sum of ICC2 + 6)]]=0,"NA",ValbyACO_MCaid[[#This Row],[2022 TOTAL Truncated Total Expenses]]/ValbyACO_MCaid[[#This Row],[2021 TOTAL Truncated Total Expenses]]-1),"NA")</f>
        <v>NA</v>
      </c>
    </row>
    <row r="55" spans="1:45" x14ac:dyDescent="0.35">
      <c r="B55" s="250">
        <v>106</v>
      </c>
      <c r="C55" s="291" t="s">
        <v>170</v>
      </c>
      <c r="D55" s="272">
        <f t="shared" si="6"/>
        <v>0</v>
      </c>
      <c r="E55" s="268" t="str">
        <f>IF(ValbyACO_MCaid[[#This Row],[2021 Member Months (sum of ICC2 + 6)]]=0,"NA",(SUMPRODUCT(E69,D69)+SUMPRODUCT(E83,D83))/ValbyACO_MCaid[[#This Row],[2021 Member Months (sum of ICC2 + 6)]])</f>
        <v>NA</v>
      </c>
      <c r="F55" s="268" t="str">
        <f>IF(ValbyACO_MCaid[[#This Row],[2021 Member Months (sum of ICC2 + 6)]]=0,"NA",(SUMPRODUCT(F69,D69)+SUMPRODUCT(F83,D83))/ValbyACO_MCaid[[#This Row],[2021 Member Months (sum of ICC2 + 6)]])</f>
        <v>NA</v>
      </c>
      <c r="G55" s="268" t="str">
        <f>IF(ValbyACO_MCaid[[#This Row],[2021 Member Months (sum of ICC2 + 6)]]=0,"NA",(SUMPRODUCT(G69,D69)+SUMPRODUCT(G83,D83))/ValbyACO_MCaid[[#This Row],[2021 Member Months (sum of ICC2 + 6)]])</f>
        <v>NA</v>
      </c>
      <c r="H55" s="268" t="str">
        <f>IF(ValbyACO_MCaid[[#This Row],[2021 Member Months (sum of ICC2 + 6)]]=0,"NA",(SUMPRODUCT(H69,D69)+SUMPRODUCT(H83,D83))/ValbyACO_MCaid[[#This Row],[2021 Member Months (sum of ICC2 + 6)]])</f>
        <v>NA</v>
      </c>
      <c r="I55" s="268" t="str">
        <f>IF(ValbyACO_MCaid[[#This Row],[2021 Member Months (sum of ICC2 + 6)]]=0,"NA",(SUMPRODUCT(I69,D69)+SUMPRODUCT(I83,D83))/ValbyACO_MCaid[[#This Row],[2021 Member Months (sum of ICC2 + 6)]])</f>
        <v>NA</v>
      </c>
      <c r="J55" s="268" t="str">
        <f>IF(ValbyACO_MCaid[[#This Row],[2021 Member Months (sum of ICC2 + 6)]]=0,"NA",(SUMPRODUCT(J69,D69)+SUMPRODUCT(J83,D83))/ValbyACO_MCaid[[#This Row],[2021 Member Months (sum of ICC2 + 6)]])</f>
        <v>NA</v>
      </c>
      <c r="K55" s="268" t="str">
        <f>IF(ValbyACO_MCaid[[#This Row],[2021 Member Months (sum of ICC2 + 6)]]=0,"NA",(SUMPRODUCT(K69,D69)+SUMPRODUCT(K83,D83))/ValbyACO_MCaid[[#This Row],[2021 Member Months (sum of ICC2 + 6)]])</f>
        <v>NA</v>
      </c>
      <c r="L55" s="268" t="str">
        <f>IF(ValbyACO_MCaid[[#This Row],[2021 Member Months (sum of ICC2 + 6)]]=0,"NA",(SUMPRODUCT(L69,D69)+SUMPRODUCT(L83,D83))/ValbyACO_MCaid[[#This Row],[2021 Member Months (sum of ICC2 + 6)]])</f>
        <v>NA</v>
      </c>
      <c r="M55" s="118" t="str">
        <f>IF(ValbyACO_MCaid[[#This Row],[2021 Member Months (sum of ICC2 + 6)]]=0,"NA",(SUMPRODUCT(M69,D69)+SUMPRODUCT(M83,D83))/ValbyACO_MCaid[[#This Row],[2021 Member Months (sum of ICC2 + 6)]])</f>
        <v>NA</v>
      </c>
      <c r="N55" s="118" t="str">
        <f>IF(ValbyACO_MCaid[[#This Row],[2021 Member Months (sum of ICC2 + 6)]]=0,"NA",(SUMPRODUCT(N69,D69)+SUMPRODUCT(N83,D83))/ValbyACO_MCaid[[#This Row],[2021 Member Months (sum of ICC2 + 6)]])</f>
        <v>NA</v>
      </c>
      <c r="O55" s="118" t="str">
        <f>IF(ValbyACO_MCaid[[#This Row],[2021 Member Months (sum of ICC2 + 6)]]=0,"NA",(SUMPRODUCT(O69,D69)+SUMPRODUCT(O83,D83))/ValbyACO_MCaid[[#This Row],[2021 Member Months (sum of ICC2 + 6)]])</f>
        <v>NA</v>
      </c>
      <c r="P55" s="118" t="str">
        <f>IF(ValbyACO_MCaid[[#This Row],[2021 Member Months (sum of ICC2 + 6)]]=0,"NA",(SUMPRODUCT(P69,D69)+SUMPRODUCT(P83,D83))/ValbyACO_MCaid[[#This Row],[2021 Member Months (sum of ICC2 + 6)]])</f>
        <v>NA</v>
      </c>
      <c r="Q55" s="119" t="str">
        <f>IF(ValbyACO_MCaid[[#This Row],[2021 Member Months (sum of ICC2 + 6)]]=0,"NA",(SUMPRODUCT(Q69,D69)+SUMPRODUCT(Q83,D83))/ValbyACO_MCaid[[#This Row],[2021 Member Months (sum of ICC2 + 6)]])</f>
        <v>NA</v>
      </c>
      <c r="R55" s="192">
        <f t="shared" si="7"/>
        <v>0</v>
      </c>
      <c r="S55" s="118" t="str">
        <f>IF(ValbyACO_MCaid[[#This Row],[2022 Member Months (sum of ICC2 + 6)]]=0,"NA",(SUMPRODUCT(S69,R69)+SUMPRODUCT(S83,R83))/ValbyACO_MCaid[[#This Row],[2022 Member Months (sum of ICC2 + 6)]])</f>
        <v>NA</v>
      </c>
      <c r="T55" s="118" t="str">
        <f>IF(ValbyACO_MCaid[[#This Row],[2022 Member Months (sum of ICC2 + 6)]]=0,"NA",(SUMPRODUCT(T69,R69)+SUMPRODUCT(T83,R83))/ValbyACO_MCaid[[#This Row],[2022 Member Months (sum of ICC2 + 6)]])</f>
        <v>NA</v>
      </c>
      <c r="U55" s="118" t="str">
        <f>IF(ValbyACO_MCaid[[#This Row],[2022 Member Months (sum of ICC2 + 6)]]=0,"NA",(SUMPRODUCT(U69,R69)+SUMPRODUCT(U83,R83))/ValbyACO_MCaid[[#This Row],[2022 Member Months (sum of ICC2 + 6)]])</f>
        <v>NA</v>
      </c>
      <c r="V55" s="118" t="str">
        <f>IF(ValbyACO_MCaid[[#This Row],[2022 Member Months (sum of ICC2 + 6)]]=0,"NA",(SUMPRODUCT(V69,R69)+SUMPRODUCT(V83,R83))/ValbyACO_MCaid[[#This Row],[2022 Member Months (sum of ICC2 + 6)]])</f>
        <v>NA</v>
      </c>
      <c r="W55" s="118" t="str">
        <f>IF(ValbyACO_MCaid[[#This Row],[2022 Member Months (sum of ICC2 + 6)]]=0,"NA",(SUMPRODUCT(W69,R69)+SUMPRODUCT(W83,R83))/ValbyACO_MCaid[[#This Row],[2022 Member Months (sum of ICC2 + 6)]])</f>
        <v>NA</v>
      </c>
      <c r="X55" s="118" t="str">
        <f>IF(ValbyACO_MCaid[[#This Row],[2022 Member Months (sum of ICC2 + 6)]]=0,"NA",(SUMPRODUCT(X69,R69)+SUMPRODUCT(X83,R83))/ValbyACO_MCaid[[#This Row],[2022 Member Months (sum of ICC2 + 6)]])</f>
        <v>NA</v>
      </c>
      <c r="Y55" s="118" t="str">
        <f>IF(ValbyACO_MCaid[[#This Row],[2022 Member Months (sum of ICC2 + 6)]]=0,"NA",(SUMPRODUCT(Y69,R69)+SUMPRODUCT(Y83,R83))/ValbyACO_MCaid[[#This Row],[2022 Member Months (sum of ICC2 + 6)]])</f>
        <v>NA</v>
      </c>
      <c r="Z55" s="118" t="str">
        <f>IF(ValbyACO_MCaid[[#This Row],[2022 Member Months (sum of ICC2 + 6)]]=0,"NA",(SUMPRODUCT(Z69,R69)+SUMPRODUCT(Z83,R83))/ValbyACO_MCaid[[#This Row],[2022 Member Months (sum of ICC2 + 6)]])</f>
        <v>NA</v>
      </c>
      <c r="AA55" s="118" t="str">
        <f>IF(ValbyACO_MCaid[[#This Row],[2022 Member Months (sum of ICC2 + 6)]]=0,"NA",(SUMPRODUCT(AA69,R69)+SUMPRODUCT(AA83,R83))/ValbyACO_MCaid[[#This Row],[2022 Member Months (sum of ICC2 + 6)]])</f>
        <v>NA</v>
      </c>
      <c r="AB55" s="118" t="str">
        <f>IF(ValbyACO_MCaid[[#This Row],[2022 Member Months (sum of ICC2 + 6)]]=0,"NA",(SUMPRODUCT(AB69,R69)+SUMPRODUCT(AB83,R83))/ValbyACO_MCaid[[#This Row],[2022 Member Months (sum of ICC2 + 6)]])</f>
        <v>NA</v>
      </c>
      <c r="AC55" s="118" t="str">
        <f>IF(ValbyACO_MCaid[[#This Row],[2022 Member Months (sum of ICC2 + 6)]]=0,"NA",(SUMPRODUCT(AC69,R69)+SUMPRODUCT(AC83,R83))/ValbyACO_MCaid[[#This Row],[2022 Member Months (sum of ICC2 + 6)]])</f>
        <v>NA</v>
      </c>
      <c r="AD55" s="118" t="str">
        <f>IF(ValbyACO_MCaid[[#This Row],[2022 Member Months (sum of ICC2 + 6)]]=0,"NA",(SUMPRODUCT(AD69,R69)+SUMPRODUCT(AD83,R83))/ValbyACO_MCaid[[#This Row],[2022 Member Months (sum of ICC2 + 6)]])</f>
        <v>NA</v>
      </c>
      <c r="AE55" s="130" t="str">
        <f>IF(ValbyACO_MCaid[[#This Row],[2022 Member Months (sum of ICC2 + 6)]]=0,"NA",(SUMPRODUCT(AE69,R69)+SUMPRODUCT(AE83,R83))/ValbyACO_MCaid[[#This Row],[2022 Member Months (sum of ICC2 + 6)]])</f>
        <v>NA</v>
      </c>
      <c r="AF55" s="160" t="str">
        <f>IFERROR(IF(ValbyACO_MCaid[[#This Row],[2021 Member Months (sum of ICC2 + 6)]]=0,"NA",ValbyACO_MCaid[[#This Row],[2022 Member Months (sum of ICC2 + 6)]]/ValbyACO_MCaid[[#This Row],[2021 Member Months (sum of ICC2 + 6)]]-1),"NA")</f>
        <v>NA</v>
      </c>
      <c r="AG55" s="161" t="str">
        <f>IFERROR(IF(ValbyACO_MCaid[[#This Row],[2021 Member Months (sum of ICC2 + 6)]]=0,"NA",ValbyACO_MCaid[[#This Row],[2022 Claims: Hospital Inpatient]]/ValbyACO_MCaid[[#This Row],[2021 Claims: Hospital Inpatient]]-1),"NA")</f>
        <v>NA</v>
      </c>
      <c r="AH55" s="162" t="str">
        <f>IFERROR(IF(ValbyACO_MCaid[[#This Row],[2021 Member Months (sum of ICC2 + 6)]]=0,"NA",ValbyACO_MCaid[[#This Row],[2022 Claims: Hospital Outpatient]]/ValbyACO_MCaid[[#This Row],[2021 Claims: Hospital Outpatient]]-1),"NA")</f>
        <v>NA</v>
      </c>
      <c r="AI55" s="162" t="str">
        <f>IFERROR(IF(ValbyACO_MCaid[[#This Row],[2021 Member Months (sum of ICC2 + 6)]]=0,"NA",ValbyACO_MCaid[[#This Row],[2022 Claims: Professional, Primary Care]]/ValbyACO_MCaid[[#This Row],[2021 Claims: Professional, Primary Care]]-1),"NA")</f>
        <v>NA</v>
      </c>
      <c r="AJ55" s="162" t="str">
        <f>IFERROR(IF(ValbyACO_MCaid[[#This Row],[2021 Member Months (sum of ICC2 + 6)]]=0,"NA",ValbyACO_MCaid[[#This Row],[2022 Claims: Professional, Specialty Care]]/ValbyACO_MCaid[[#This Row],[2021 Claims: Professional, Specialty Care]]-1),"NA")</f>
        <v>NA</v>
      </c>
      <c r="AK55" s="162" t="str">
        <f>IFERROR(IF(ValbyACO_MCaid[[#This Row],[2021 Member Months (sum of ICC2 + 6)]]=0,"NA", ValbyACO_MCaid[[#This Row],[2022 Claims: Professional Other]]/ValbyACO_MCaid[[#This Row],[2021 Claims: Professional Other]]-1),"NA")</f>
        <v>NA</v>
      </c>
      <c r="AL55" s="162" t="str">
        <f>IFERROR(IF(ValbyACO_MCaid[[#This Row],[2021 Member Months (sum of ICC2 + 6)]]=0,"NA",ValbyACO_MCaid[[#This Row],[2022 Claims: Pharmacy (Gross of Retail Pharmacy Rebates)]]/ValbyACO_MCaid[[#This Row],[2021 Claims: Pharmacy (Gross of  Rebates)]]-1),"NA")</f>
        <v>NA</v>
      </c>
      <c r="AM55" s="162" t="str">
        <f>IFERROR(IF(ValbyACO_MCaid[[#This Row],[2021 Member Months (sum of ICC2 + 6)]]=0,"NA",ValbyACO_MCaid[[#This Row],[2022 Claims: Long-term Care]]/ValbyACO_MCaid[[#This Row],[2021 Claims: Long-term Care]]-1),"NA")</f>
        <v>NA</v>
      </c>
      <c r="AN55" s="162" t="str">
        <f>IFERROR(IF(ValbyACO_MCaid[[#This Row],[2021 Member Months (sum of ICC2 + 6)]]=0,"NA",ValbyACO_MCaid[[#This Row],[2022 Claims: Other]]/ValbyACO_MCaid[[#This Row],[2021 Claims: Other]]-1),"NA")</f>
        <v>NA</v>
      </c>
      <c r="AO55" s="163" t="str">
        <f>IFERROR(IF(ValbyACO_MCaid[[#This Row],[2021 Member Months (sum of ICC2 + 6)]]=0,"NA",ValbyACO_MCaid[[#This Row],[2022 TOTAL Non-Truncated Claims Expenses]]/ValbyACO_MCaid[[#This Row],[2021 TOTAL Non-Truncated Claims Expenses]]-1),"NA")</f>
        <v>NA</v>
      </c>
      <c r="AP55" s="163" t="str">
        <f>IFERROR(IF(ValbyACO_MCaid[[#This Row],[2021 Member Months (sum of ICC2 + 6)]]=0,"NA",ValbyACO_MCaid[[#This Row],[2022 TOTAL Truncated Claims Expenses]]/ValbyACO_MCaid[[#This Row],[2021 TOTAL Truncated Claims Expenses]]-1),"NA")</f>
        <v>NA</v>
      </c>
      <c r="AQ55" s="163" t="str">
        <f>IFERROR(IF(ValbyACO_MCaid[[#This Row],[2021 Member Months (sum of ICC2 + 6)]]=0,"NA",ValbyACO_MCaid[[#This Row],[2022 TOTAL Non-Claims Expenses]]/ValbyACO_MCaid[[#This Row],[2021 TOTAL Non-Claims Expenses]]-1),"NA")</f>
        <v>NA</v>
      </c>
      <c r="AR55" s="163" t="str">
        <f>IFERROR(IF(ValbyACO_MCaid[[#This Row],[2021 Member Months (sum of ICC2 + 6)]]=0,"NA",ValbyACO_MCaid[[#This Row],[2022 TOTAL Non-Truncated Total Expenses]]/ValbyACO_MCaid[[#This Row],[2021 TOTAL Non-Truncated Total Expenses]]-1),"NA")</f>
        <v>NA</v>
      </c>
      <c r="AS55" s="164" t="str">
        <f>IFERROR(IF(ValbyACO_MCaid[[#This Row],[2021 Member Months (sum of ICC2 + 6)]]=0,"NA",ValbyACO_MCaid[[#This Row],[2022 TOTAL Truncated Total Expenses]]/ValbyACO_MCaid[[#This Row],[2021 TOTAL Truncated Total Expenses]]-1),"NA")</f>
        <v>NA</v>
      </c>
    </row>
    <row r="56" spans="1:45" x14ac:dyDescent="0.35">
      <c r="B56" s="250">
        <v>107</v>
      </c>
      <c r="C56" s="291" t="s">
        <v>171</v>
      </c>
      <c r="D56" s="272">
        <f t="shared" si="6"/>
        <v>0</v>
      </c>
      <c r="E56" s="268" t="str">
        <f>IF(ValbyACO_MCaid[[#This Row],[2021 Member Months (sum of ICC2 + 6)]]=0,"NA",(SUMPRODUCT(E70,D70)+SUMPRODUCT(E84,D84))/ValbyACO_MCaid[[#This Row],[2021 Member Months (sum of ICC2 + 6)]])</f>
        <v>NA</v>
      </c>
      <c r="F56" s="268" t="str">
        <f>IF(ValbyACO_MCaid[[#This Row],[2021 Member Months (sum of ICC2 + 6)]]=0,"NA",(SUMPRODUCT(F70,D70)+SUMPRODUCT(F84,D84))/ValbyACO_MCaid[[#This Row],[2021 Member Months (sum of ICC2 + 6)]])</f>
        <v>NA</v>
      </c>
      <c r="G56" s="268" t="str">
        <f>IF(ValbyACO_MCaid[[#This Row],[2021 Member Months (sum of ICC2 + 6)]]=0,"NA",(SUMPRODUCT(G70,D70)+SUMPRODUCT(G84,D84))/ValbyACO_MCaid[[#This Row],[2021 Member Months (sum of ICC2 + 6)]])</f>
        <v>NA</v>
      </c>
      <c r="H56" s="268" t="str">
        <f>IF(ValbyACO_MCaid[[#This Row],[2021 Member Months (sum of ICC2 + 6)]]=0,"NA",(SUMPRODUCT(H70,D70)+SUMPRODUCT(H84,D84))/ValbyACO_MCaid[[#This Row],[2021 Member Months (sum of ICC2 + 6)]])</f>
        <v>NA</v>
      </c>
      <c r="I56" s="268" t="str">
        <f>IF(ValbyACO_MCaid[[#This Row],[2021 Member Months (sum of ICC2 + 6)]]=0,"NA",(SUMPRODUCT(I70,D70)+SUMPRODUCT(I84,D84))/ValbyACO_MCaid[[#This Row],[2021 Member Months (sum of ICC2 + 6)]])</f>
        <v>NA</v>
      </c>
      <c r="J56" s="268" t="str">
        <f>IF(ValbyACO_MCaid[[#This Row],[2021 Member Months (sum of ICC2 + 6)]]=0,"NA",(SUMPRODUCT(J70,D70)+SUMPRODUCT(J84,D84))/ValbyACO_MCaid[[#This Row],[2021 Member Months (sum of ICC2 + 6)]])</f>
        <v>NA</v>
      </c>
      <c r="K56" s="268" t="str">
        <f>IF(ValbyACO_MCaid[[#This Row],[2021 Member Months (sum of ICC2 + 6)]]=0,"NA",(SUMPRODUCT(K70,D70)+SUMPRODUCT(K84,D84))/ValbyACO_MCaid[[#This Row],[2021 Member Months (sum of ICC2 + 6)]])</f>
        <v>NA</v>
      </c>
      <c r="L56" s="268" t="str">
        <f>IF(ValbyACO_MCaid[[#This Row],[2021 Member Months (sum of ICC2 + 6)]]=0,"NA",(SUMPRODUCT(L70,D70)+SUMPRODUCT(L84,D84))/ValbyACO_MCaid[[#This Row],[2021 Member Months (sum of ICC2 + 6)]])</f>
        <v>NA</v>
      </c>
      <c r="M56" s="118" t="str">
        <f>IF(ValbyACO_MCaid[[#This Row],[2021 Member Months (sum of ICC2 + 6)]]=0,"NA",(SUMPRODUCT(M70,D70)+SUMPRODUCT(M84,D84))/ValbyACO_MCaid[[#This Row],[2021 Member Months (sum of ICC2 + 6)]])</f>
        <v>NA</v>
      </c>
      <c r="N56" s="118" t="str">
        <f>IF(ValbyACO_MCaid[[#This Row],[2021 Member Months (sum of ICC2 + 6)]]=0,"NA",(SUMPRODUCT(N70,D70)+SUMPRODUCT(N84,D84))/ValbyACO_MCaid[[#This Row],[2021 Member Months (sum of ICC2 + 6)]])</f>
        <v>NA</v>
      </c>
      <c r="O56" s="118" t="str">
        <f>IF(ValbyACO_MCaid[[#This Row],[2021 Member Months (sum of ICC2 + 6)]]=0,"NA",(SUMPRODUCT(O70,D70)+SUMPRODUCT(O84,D84))/ValbyACO_MCaid[[#This Row],[2021 Member Months (sum of ICC2 + 6)]])</f>
        <v>NA</v>
      </c>
      <c r="P56" s="118" t="str">
        <f>IF(ValbyACO_MCaid[[#This Row],[2021 Member Months (sum of ICC2 + 6)]]=0,"NA",(SUMPRODUCT(P70,D70)+SUMPRODUCT(P84,D84))/ValbyACO_MCaid[[#This Row],[2021 Member Months (sum of ICC2 + 6)]])</f>
        <v>NA</v>
      </c>
      <c r="Q56" s="119" t="str">
        <f>IF(ValbyACO_MCaid[[#This Row],[2021 Member Months (sum of ICC2 + 6)]]=0,"NA",(SUMPRODUCT(Q70,D70)+SUMPRODUCT(Q84,D84))/ValbyACO_MCaid[[#This Row],[2021 Member Months (sum of ICC2 + 6)]])</f>
        <v>NA</v>
      </c>
      <c r="R56" s="192">
        <f t="shared" si="7"/>
        <v>0</v>
      </c>
      <c r="S56" s="118" t="str">
        <f>IF(ValbyACO_MCaid[[#This Row],[2022 Member Months (sum of ICC2 + 6)]]=0,"NA",(SUMPRODUCT(S70,R70)+SUMPRODUCT(S84,R84))/ValbyACO_MCaid[[#This Row],[2022 Member Months (sum of ICC2 + 6)]])</f>
        <v>NA</v>
      </c>
      <c r="T56" s="118" t="str">
        <f>IF(ValbyACO_MCaid[[#This Row],[2022 Member Months (sum of ICC2 + 6)]]=0,"NA",(SUMPRODUCT(T70,R70)+SUMPRODUCT(T84,R84))/ValbyACO_MCaid[[#This Row],[2022 Member Months (sum of ICC2 + 6)]])</f>
        <v>NA</v>
      </c>
      <c r="U56" s="118" t="str">
        <f>IF(ValbyACO_MCaid[[#This Row],[2022 Member Months (sum of ICC2 + 6)]]=0,"NA",(SUMPRODUCT(U70,R70)+SUMPRODUCT(U84,R84))/ValbyACO_MCaid[[#This Row],[2022 Member Months (sum of ICC2 + 6)]])</f>
        <v>NA</v>
      </c>
      <c r="V56" s="118" t="str">
        <f>IF(ValbyACO_MCaid[[#This Row],[2022 Member Months (sum of ICC2 + 6)]]=0,"NA",(SUMPRODUCT(V70,R70)+SUMPRODUCT(V84,R84))/ValbyACO_MCaid[[#This Row],[2022 Member Months (sum of ICC2 + 6)]])</f>
        <v>NA</v>
      </c>
      <c r="W56" s="118" t="str">
        <f>IF(ValbyACO_MCaid[[#This Row],[2022 Member Months (sum of ICC2 + 6)]]=0,"NA",(SUMPRODUCT(W70,R70)+SUMPRODUCT(W84,R84))/ValbyACO_MCaid[[#This Row],[2022 Member Months (sum of ICC2 + 6)]])</f>
        <v>NA</v>
      </c>
      <c r="X56" s="118" t="str">
        <f>IF(ValbyACO_MCaid[[#This Row],[2022 Member Months (sum of ICC2 + 6)]]=0,"NA",(SUMPRODUCT(X70,R70)+SUMPRODUCT(X84,R84))/ValbyACO_MCaid[[#This Row],[2022 Member Months (sum of ICC2 + 6)]])</f>
        <v>NA</v>
      </c>
      <c r="Y56" s="118" t="str">
        <f>IF(ValbyACO_MCaid[[#This Row],[2022 Member Months (sum of ICC2 + 6)]]=0,"NA",(SUMPRODUCT(Y70,R70)+SUMPRODUCT(Y84,R84))/ValbyACO_MCaid[[#This Row],[2022 Member Months (sum of ICC2 + 6)]])</f>
        <v>NA</v>
      </c>
      <c r="Z56" s="118" t="str">
        <f>IF(ValbyACO_MCaid[[#This Row],[2022 Member Months (sum of ICC2 + 6)]]=0,"NA",(SUMPRODUCT(Z70,R70)+SUMPRODUCT(Z84,R84))/ValbyACO_MCaid[[#This Row],[2022 Member Months (sum of ICC2 + 6)]])</f>
        <v>NA</v>
      </c>
      <c r="AA56" s="118" t="str">
        <f>IF(ValbyACO_MCaid[[#This Row],[2022 Member Months (sum of ICC2 + 6)]]=0,"NA",(SUMPRODUCT(AA70,R70)+SUMPRODUCT(AA84,R84))/ValbyACO_MCaid[[#This Row],[2022 Member Months (sum of ICC2 + 6)]])</f>
        <v>NA</v>
      </c>
      <c r="AB56" s="118" t="str">
        <f>IF(ValbyACO_MCaid[[#This Row],[2022 Member Months (sum of ICC2 + 6)]]=0,"NA",(SUMPRODUCT(AB70,R70)+SUMPRODUCT(AB84,R84))/ValbyACO_MCaid[[#This Row],[2022 Member Months (sum of ICC2 + 6)]])</f>
        <v>NA</v>
      </c>
      <c r="AC56" s="118" t="str">
        <f>IF(ValbyACO_MCaid[[#This Row],[2022 Member Months (sum of ICC2 + 6)]]=0,"NA",(SUMPRODUCT(AC70,R70)+SUMPRODUCT(AC84,R84))/ValbyACO_MCaid[[#This Row],[2022 Member Months (sum of ICC2 + 6)]])</f>
        <v>NA</v>
      </c>
      <c r="AD56" s="118" t="str">
        <f>IF(ValbyACO_MCaid[[#This Row],[2022 Member Months (sum of ICC2 + 6)]]=0,"NA",(SUMPRODUCT(AD70,R70)+SUMPRODUCT(AD84,R84))/ValbyACO_MCaid[[#This Row],[2022 Member Months (sum of ICC2 + 6)]])</f>
        <v>NA</v>
      </c>
      <c r="AE56" s="130" t="str">
        <f>IF(ValbyACO_MCaid[[#This Row],[2022 Member Months (sum of ICC2 + 6)]]=0,"NA",(SUMPRODUCT(AE70,R70)+SUMPRODUCT(AE84,R84))/ValbyACO_MCaid[[#This Row],[2022 Member Months (sum of ICC2 + 6)]])</f>
        <v>NA</v>
      </c>
      <c r="AF56" s="160" t="str">
        <f>IFERROR(IF(ValbyACO_MCaid[[#This Row],[2021 Member Months (sum of ICC2 + 6)]]=0,"NA",ValbyACO_MCaid[[#This Row],[2022 Member Months (sum of ICC2 + 6)]]/ValbyACO_MCaid[[#This Row],[2021 Member Months (sum of ICC2 + 6)]]-1),"NA")</f>
        <v>NA</v>
      </c>
      <c r="AG56" s="161" t="str">
        <f>IFERROR(IF(ValbyACO_MCaid[[#This Row],[2021 Member Months (sum of ICC2 + 6)]]=0,"NA",ValbyACO_MCaid[[#This Row],[2022 Claims: Hospital Inpatient]]/ValbyACO_MCaid[[#This Row],[2021 Claims: Hospital Inpatient]]-1),"NA")</f>
        <v>NA</v>
      </c>
      <c r="AH56" s="162" t="str">
        <f>IFERROR(IF(ValbyACO_MCaid[[#This Row],[2021 Member Months (sum of ICC2 + 6)]]=0,"NA",ValbyACO_MCaid[[#This Row],[2022 Claims: Hospital Outpatient]]/ValbyACO_MCaid[[#This Row],[2021 Claims: Hospital Outpatient]]-1),"NA")</f>
        <v>NA</v>
      </c>
      <c r="AI56" s="162" t="str">
        <f>IFERROR(IF(ValbyACO_MCaid[[#This Row],[2021 Member Months (sum of ICC2 + 6)]]=0,"NA",ValbyACO_MCaid[[#This Row],[2022 Claims: Professional, Primary Care]]/ValbyACO_MCaid[[#This Row],[2021 Claims: Professional, Primary Care]]-1),"NA")</f>
        <v>NA</v>
      </c>
      <c r="AJ56" s="162" t="str">
        <f>IFERROR(IF(ValbyACO_MCaid[[#This Row],[2021 Member Months (sum of ICC2 + 6)]]=0,"NA",ValbyACO_MCaid[[#This Row],[2022 Claims: Professional, Specialty Care]]/ValbyACO_MCaid[[#This Row],[2021 Claims: Professional, Specialty Care]]-1),"NA")</f>
        <v>NA</v>
      </c>
      <c r="AK56" s="162" t="str">
        <f>IFERROR(IF(ValbyACO_MCaid[[#This Row],[2021 Member Months (sum of ICC2 + 6)]]=0,"NA", ValbyACO_MCaid[[#This Row],[2022 Claims: Professional Other]]/ValbyACO_MCaid[[#This Row],[2021 Claims: Professional Other]]-1),"NA")</f>
        <v>NA</v>
      </c>
      <c r="AL56" s="162" t="str">
        <f>IFERROR(IF(ValbyACO_MCaid[[#This Row],[2021 Member Months (sum of ICC2 + 6)]]=0,"NA",ValbyACO_MCaid[[#This Row],[2022 Claims: Pharmacy (Gross of Retail Pharmacy Rebates)]]/ValbyACO_MCaid[[#This Row],[2021 Claims: Pharmacy (Gross of  Rebates)]]-1),"NA")</f>
        <v>NA</v>
      </c>
      <c r="AM56" s="162" t="str">
        <f>IFERROR(IF(ValbyACO_MCaid[[#This Row],[2021 Member Months (sum of ICC2 + 6)]]=0,"NA",ValbyACO_MCaid[[#This Row],[2022 Claims: Long-term Care]]/ValbyACO_MCaid[[#This Row],[2021 Claims: Long-term Care]]-1),"NA")</f>
        <v>NA</v>
      </c>
      <c r="AN56" s="162" t="str">
        <f>IFERROR(IF(ValbyACO_MCaid[[#This Row],[2021 Member Months (sum of ICC2 + 6)]]=0,"NA",ValbyACO_MCaid[[#This Row],[2022 Claims: Other]]/ValbyACO_MCaid[[#This Row],[2021 Claims: Other]]-1),"NA")</f>
        <v>NA</v>
      </c>
      <c r="AO56" s="163" t="str">
        <f>IFERROR(IF(ValbyACO_MCaid[[#This Row],[2021 Member Months (sum of ICC2 + 6)]]=0,"NA",ValbyACO_MCaid[[#This Row],[2022 TOTAL Non-Truncated Claims Expenses]]/ValbyACO_MCaid[[#This Row],[2021 TOTAL Non-Truncated Claims Expenses]]-1),"NA")</f>
        <v>NA</v>
      </c>
      <c r="AP56" s="163" t="str">
        <f>IFERROR(IF(ValbyACO_MCaid[[#This Row],[2021 Member Months (sum of ICC2 + 6)]]=0,"NA",ValbyACO_MCaid[[#This Row],[2022 TOTAL Truncated Claims Expenses]]/ValbyACO_MCaid[[#This Row],[2021 TOTAL Truncated Claims Expenses]]-1),"NA")</f>
        <v>NA</v>
      </c>
      <c r="AQ56" s="163" t="str">
        <f>IFERROR(IF(ValbyACO_MCaid[[#This Row],[2021 Member Months (sum of ICC2 + 6)]]=0,"NA",ValbyACO_MCaid[[#This Row],[2022 TOTAL Non-Claims Expenses]]/ValbyACO_MCaid[[#This Row],[2021 TOTAL Non-Claims Expenses]]-1),"NA")</f>
        <v>NA</v>
      </c>
      <c r="AR56" s="163" t="str">
        <f>IFERROR(IF(ValbyACO_MCaid[[#This Row],[2021 Member Months (sum of ICC2 + 6)]]=0,"NA",ValbyACO_MCaid[[#This Row],[2022 TOTAL Non-Truncated Total Expenses]]/ValbyACO_MCaid[[#This Row],[2021 TOTAL Non-Truncated Total Expenses]]-1),"NA")</f>
        <v>NA</v>
      </c>
      <c r="AS56" s="164" t="str">
        <f>IFERROR(IF(ValbyACO_MCaid[[#This Row],[2021 Member Months (sum of ICC2 + 6)]]=0,"NA",ValbyACO_MCaid[[#This Row],[2022 TOTAL Truncated Total Expenses]]/ValbyACO_MCaid[[#This Row],[2021 TOTAL Truncated Total Expenses]]-1),"NA")</f>
        <v>NA</v>
      </c>
    </row>
    <row r="57" spans="1:45" x14ac:dyDescent="0.35">
      <c r="B57" s="250">
        <v>108</v>
      </c>
      <c r="C57" s="291" t="s">
        <v>508</v>
      </c>
      <c r="D57" s="272">
        <f t="shared" si="6"/>
        <v>0</v>
      </c>
      <c r="E57" s="268" t="str">
        <f>IF(ValbyACO_MCaid[[#This Row],[2021 Member Months (sum of ICC2 + 6)]]=0,"NA",(SUMPRODUCT(E71,D71)+SUMPRODUCT(E85,D85))/ValbyACO_MCaid[[#This Row],[2021 Member Months (sum of ICC2 + 6)]])</f>
        <v>NA</v>
      </c>
      <c r="F57" s="268" t="str">
        <f>IF(ValbyACO_MCaid[[#This Row],[2021 Member Months (sum of ICC2 + 6)]]=0,"NA",(SUMPRODUCT(F71,D71)+SUMPRODUCT(F85,D85))/ValbyACO_MCaid[[#This Row],[2021 Member Months (sum of ICC2 + 6)]])</f>
        <v>NA</v>
      </c>
      <c r="G57" s="268" t="str">
        <f>IF(ValbyACO_MCaid[[#This Row],[2021 Member Months (sum of ICC2 + 6)]]=0,"NA",(SUMPRODUCT(G71,D71)+SUMPRODUCT(G85,D85))/ValbyACO_MCaid[[#This Row],[2021 Member Months (sum of ICC2 + 6)]])</f>
        <v>NA</v>
      </c>
      <c r="H57" s="268" t="str">
        <f>IF(ValbyACO_MCaid[[#This Row],[2021 Member Months (sum of ICC2 + 6)]]=0,"NA",(SUMPRODUCT(H71,D71)+SUMPRODUCT(H85,D85))/ValbyACO_MCaid[[#This Row],[2021 Member Months (sum of ICC2 + 6)]])</f>
        <v>NA</v>
      </c>
      <c r="I57" s="268" t="str">
        <f>IF(ValbyACO_MCaid[[#This Row],[2021 Member Months (sum of ICC2 + 6)]]=0,"NA",(SUMPRODUCT(I71,D71)+SUMPRODUCT(I85,D85))/ValbyACO_MCaid[[#This Row],[2021 Member Months (sum of ICC2 + 6)]])</f>
        <v>NA</v>
      </c>
      <c r="J57" s="268" t="str">
        <f>IF(ValbyACO_MCaid[[#This Row],[2021 Member Months (sum of ICC2 + 6)]]=0,"NA",(SUMPRODUCT(J71,D71)+SUMPRODUCT(J85,D85))/ValbyACO_MCaid[[#This Row],[2021 Member Months (sum of ICC2 + 6)]])</f>
        <v>NA</v>
      </c>
      <c r="K57" s="268" t="str">
        <f>IF(ValbyACO_MCaid[[#This Row],[2021 Member Months (sum of ICC2 + 6)]]=0,"NA",(SUMPRODUCT(K71,D71)+SUMPRODUCT(K85,D85))/ValbyACO_MCaid[[#This Row],[2021 Member Months (sum of ICC2 + 6)]])</f>
        <v>NA</v>
      </c>
      <c r="L57" s="268" t="str">
        <f>IF(ValbyACO_MCaid[[#This Row],[2021 Member Months (sum of ICC2 + 6)]]=0,"NA",(SUMPRODUCT(L71,D71)+SUMPRODUCT(L85,D85))/ValbyACO_MCaid[[#This Row],[2021 Member Months (sum of ICC2 + 6)]])</f>
        <v>NA</v>
      </c>
      <c r="M57" s="118" t="str">
        <f>IF(ValbyACO_MCaid[[#This Row],[2021 Member Months (sum of ICC2 + 6)]]=0,"NA",(SUMPRODUCT(M71,D71)+SUMPRODUCT(M85,D85))/ValbyACO_MCaid[[#This Row],[2021 Member Months (sum of ICC2 + 6)]])</f>
        <v>NA</v>
      </c>
      <c r="N57" s="118" t="str">
        <f>IF(ValbyACO_MCaid[[#This Row],[2021 Member Months (sum of ICC2 + 6)]]=0,"NA",(SUMPRODUCT(N71,D71)+SUMPRODUCT(N85,D85))/ValbyACO_MCaid[[#This Row],[2021 Member Months (sum of ICC2 + 6)]])</f>
        <v>NA</v>
      </c>
      <c r="O57" s="118" t="str">
        <f>IF(ValbyACO_MCaid[[#This Row],[2021 Member Months (sum of ICC2 + 6)]]=0,"NA",(SUMPRODUCT(O71,D71)+SUMPRODUCT(O85,D85))/ValbyACO_MCaid[[#This Row],[2021 Member Months (sum of ICC2 + 6)]])</f>
        <v>NA</v>
      </c>
      <c r="P57" s="118" t="str">
        <f>IF(ValbyACO_MCaid[[#This Row],[2021 Member Months (sum of ICC2 + 6)]]=0,"NA",(SUMPRODUCT(P71,D71)+SUMPRODUCT(P85,D85))/ValbyACO_MCaid[[#This Row],[2021 Member Months (sum of ICC2 + 6)]])</f>
        <v>NA</v>
      </c>
      <c r="Q57" s="119" t="str">
        <f>IF(ValbyACO_MCaid[[#This Row],[2021 Member Months (sum of ICC2 + 6)]]=0,"NA",(SUMPRODUCT(Q71,D71)+SUMPRODUCT(Q85,D85))/ValbyACO_MCaid[[#This Row],[2021 Member Months (sum of ICC2 + 6)]])</f>
        <v>NA</v>
      </c>
      <c r="R57" s="192">
        <f t="shared" si="7"/>
        <v>0</v>
      </c>
      <c r="S57" s="118" t="str">
        <f>IF(ValbyACO_MCaid[[#This Row],[2022 Member Months (sum of ICC2 + 6)]]=0,"NA",(SUMPRODUCT(S71,R71)+SUMPRODUCT(S85,R85))/ValbyACO_MCaid[[#This Row],[2022 Member Months (sum of ICC2 + 6)]])</f>
        <v>NA</v>
      </c>
      <c r="T57" s="118" t="str">
        <f>IF(ValbyACO_MCaid[[#This Row],[2022 Member Months (sum of ICC2 + 6)]]=0,"NA",(SUMPRODUCT(T71,R71)+SUMPRODUCT(T85,R85))/ValbyACO_MCaid[[#This Row],[2022 Member Months (sum of ICC2 + 6)]])</f>
        <v>NA</v>
      </c>
      <c r="U57" s="118" t="str">
        <f>IF(ValbyACO_MCaid[[#This Row],[2022 Member Months (sum of ICC2 + 6)]]=0,"NA",(SUMPRODUCT(U71,R71)+SUMPRODUCT(U85,R85))/ValbyACO_MCaid[[#This Row],[2022 Member Months (sum of ICC2 + 6)]])</f>
        <v>NA</v>
      </c>
      <c r="V57" s="118" t="str">
        <f>IF(ValbyACO_MCaid[[#This Row],[2022 Member Months (sum of ICC2 + 6)]]=0,"NA",(SUMPRODUCT(V71,R71)+SUMPRODUCT(V85,R85))/ValbyACO_MCaid[[#This Row],[2022 Member Months (sum of ICC2 + 6)]])</f>
        <v>NA</v>
      </c>
      <c r="W57" s="118" t="str">
        <f>IF(ValbyACO_MCaid[[#This Row],[2022 Member Months (sum of ICC2 + 6)]]=0,"NA",(SUMPRODUCT(W71,R71)+SUMPRODUCT(W85,R85))/ValbyACO_MCaid[[#This Row],[2022 Member Months (sum of ICC2 + 6)]])</f>
        <v>NA</v>
      </c>
      <c r="X57" s="118" t="str">
        <f>IF(ValbyACO_MCaid[[#This Row],[2022 Member Months (sum of ICC2 + 6)]]=0,"NA",(SUMPRODUCT(X71,R71)+SUMPRODUCT(X85,R85))/ValbyACO_MCaid[[#This Row],[2022 Member Months (sum of ICC2 + 6)]])</f>
        <v>NA</v>
      </c>
      <c r="Y57" s="118" t="str">
        <f>IF(ValbyACO_MCaid[[#This Row],[2022 Member Months (sum of ICC2 + 6)]]=0,"NA",(SUMPRODUCT(Y71,R71)+SUMPRODUCT(Y85,R85))/ValbyACO_MCaid[[#This Row],[2022 Member Months (sum of ICC2 + 6)]])</f>
        <v>NA</v>
      </c>
      <c r="Z57" s="118" t="str">
        <f>IF(ValbyACO_MCaid[[#This Row],[2022 Member Months (sum of ICC2 + 6)]]=0,"NA",(SUMPRODUCT(Z71,R71)+SUMPRODUCT(Z85,R85))/ValbyACO_MCaid[[#This Row],[2022 Member Months (sum of ICC2 + 6)]])</f>
        <v>NA</v>
      </c>
      <c r="AA57" s="118" t="str">
        <f>IF(ValbyACO_MCaid[[#This Row],[2022 Member Months (sum of ICC2 + 6)]]=0,"NA",(SUMPRODUCT(AA71,R71)+SUMPRODUCT(AA85,R85))/ValbyACO_MCaid[[#This Row],[2022 Member Months (sum of ICC2 + 6)]])</f>
        <v>NA</v>
      </c>
      <c r="AB57" s="118" t="str">
        <f>IF(ValbyACO_MCaid[[#This Row],[2022 Member Months (sum of ICC2 + 6)]]=0,"NA",(SUMPRODUCT(AB71,R71)+SUMPRODUCT(AB85,R85))/ValbyACO_MCaid[[#This Row],[2022 Member Months (sum of ICC2 + 6)]])</f>
        <v>NA</v>
      </c>
      <c r="AC57" s="118" t="str">
        <f>IF(ValbyACO_MCaid[[#This Row],[2022 Member Months (sum of ICC2 + 6)]]=0,"NA",(SUMPRODUCT(AC71,R71)+SUMPRODUCT(AC85,R85))/ValbyACO_MCaid[[#This Row],[2022 Member Months (sum of ICC2 + 6)]])</f>
        <v>NA</v>
      </c>
      <c r="AD57" s="118" t="str">
        <f>IF(ValbyACO_MCaid[[#This Row],[2022 Member Months (sum of ICC2 + 6)]]=0,"NA",(SUMPRODUCT(AD71,R71)+SUMPRODUCT(AD85,R85))/ValbyACO_MCaid[[#This Row],[2022 Member Months (sum of ICC2 + 6)]])</f>
        <v>NA</v>
      </c>
      <c r="AE57" s="130" t="str">
        <f>IF(ValbyACO_MCaid[[#This Row],[2022 Member Months (sum of ICC2 + 6)]]=0,"NA",(SUMPRODUCT(AE71,R71)+SUMPRODUCT(AE85,R85))/ValbyACO_MCaid[[#This Row],[2022 Member Months (sum of ICC2 + 6)]])</f>
        <v>NA</v>
      </c>
      <c r="AF57" s="160" t="str">
        <f>IFERROR(IF(ValbyACO_MCaid[[#This Row],[2021 Member Months (sum of ICC2 + 6)]]=0,"NA",ValbyACO_MCaid[[#This Row],[2022 Member Months (sum of ICC2 + 6)]]/ValbyACO_MCaid[[#This Row],[2021 Member Months (sum of ICC2 + 6)]]-1),"NA")</f>
        <v>NA</v>
      </c>
      <c r="AG57" s="161" t="str">
        <f>IFERROR(IF(ValbyACO_MCaid[[#This Row],[2021 Member Months (sum of ICC2 + 6)]]=0,"NA",ValbyACO_MCaid[[#This Row],[2022 Claims: Hospital Inpatient]]/ValbyACO_MCaid[[#This Row],[2021 Claims: Hospital Inpatient]]-1),"NA")</f>
        <v>NA</v>
      </c>
      <c r="AH57" s="162" t="str">
        <f>IFERROR(IF(ValbyACO_MCaid[[#This Row],[2021 Member Months (sum of ICC2 + 6)]]=0,"NA",ValbyACO_MCaid[[#This Row],[2022 Claims: Hospital Outpatient]]/ValbyACO_MCaid[[#This Row],[2021 Claims: Hospital Outpatient]]-1),"NA")</f>
        <v>NA</v>
      </c>
      <c r="AI57" s="162" t="str">
        <f>IFERROR(IF(ValbyACO_MCaid[[#This Row],[2021 Member Months (sum of ICC2 + 6)]]=0,"NA",ValbyACO_MCaid[[#This Row],[2022 Claims: Professional, Primary Care]]/ValbyACO_MCaid[[#This Row],[2021 Claims: Professional, Primary Care]]-1),"NA")</f>
        <v>NA</v>
      </c>
      <c r="AJ57" s="162" t="str">
        <f>IFERROR(IF(ValbyACO_MCaid[[#This Row],[2021 Member Months (sum of ICC2 + 6)]]=0,"NA",ValbyACO_MCaid[[#This Row],[2022 Claims: Professional, Specialty Care]]/ValbyACO_MCaid[[#This Row],[2021 Claims: Professional, Specialty Care]]-1),"NA")</f>
        <v>NA</v>
      </c>
      <c r="AK57" s="162" t="str">
        <f>IFERROR(IF(ValbyACO_MCaid[[#This Row],[2021 Member Months (sum of ICC2 + 6)]]=0,"NA", ValbyACO_MCaid[[#This Row],[2022 Claims: Professional Other]]/ValbyACO_MCaid[[#This Row],[2021 Claims: Professional Other]]-1),"NA")</f>
        <v>NA</v>
      </c>
      <c r="AL57" s="162" t="str">
        <f>IFERROR(IF(ValbyACO_MCaid[[#This Row],[2021 Member Months (sum of ICC2 + 6)]]=0,"NA",ValbyACO_MCaid[[#This Row],[2022 Claims: Pharmacy (Gross of Retail Pharmacy Rebates)]]/ValbyACO_MCaid[[#This Row],[2021 Claims: Pharmacy (Gross of  Rebates)]]-1),"NA")</f>
        <v>NA</v>
      </c>
      <c r="AM57" s="162" t="str">
        <f>IFERROR(IF(ValbyACO_MCaid[[#This Row],[2021 Member Months (sum of ICC2 + 6)]]=0,"NA",ValbyACO_MCaid[[#This Row],[2022 Claims: Long-term Care]]/ValbyACO_MCaid[[#This Row],[2021 Claims: Long-term Care]]-1),"NA")</f>
        <v>NA</v>
      </c>
      <c r="AN57" s="162" t="str">
        <f>IFERROR(IF(ValbyACO_MCaid[[#This Row],[2021 Member Months (sum of ICC2 + 6)]]=0,"NA",ValbyACO_MCaid[[#This Row],[2022 Claims: Other]]/ValbyACO_MCaid[[#This Row],[2021 Claims: Other]]-1),"NA")</f>
        <v>NA</v>
      </c>
      <c r="AO57" s="163" t="str">
        <f>IFERROR(IF(ValbyACO_MCaid[[#This Row],[2021 Member Months (sum of ICC2 + 6)]]=0,"NA",ValbyACO_MCaid[[#This Row],[2022 TOTAL Non-Truncated Claims Expenses]]/ValbyACO_MCaid[[#This Row],[2021 TOTAL Non-Truncated Claims Expenses]]-1),"NA")</f>
        <v>NA</v>
      </c>
      <c r="AP57" s="163" t="str">
        <f>IFERROR(IF(ValbyACO_MCaid[[#This Row],[2021 Member Months (sum of ICC2 + 6)]]=0,"NA",ValbyACO_MCaid[[#This Row],[2022 TOTAL Truncated Claims Expenses]]/ValbyACO_MCaid[[#This Row],[2021 TOTAL Truncated Claims Expenses]]-1),"NA")</f>
        <v>NA</v>
      </c>
      <c r="AQ57" s="163" t="str">
        <f>IFERROR(IF(ValbyACO_MCaid[[#This Row],[2021 Member Months (sum of ICC2 + 6)]]=0,"NA",ValbyACO_MCaid[[#This Row],[2022 TOTAL Non-Claims Expenses]]/ValbyACO_MCaid[[#This Row],[2021 TOTAL Non-Claims Expenses]]-1),"NA")</f>
        <v>NA</v>
      </c>
      <c r="AR57" s="163" t="str">
        <f>IFERROR(IF(ValbyACO_MCaid[[#This Row],[2021 Member Months (sum of ICC2 + 6)]]=0,"NA",ValbyACO_MCaid[[#This Row],[2022 TOTAL Non-Truncated Total Expenses]]/ValbyACO_MCaid[[#This Row],[2021 TOTAL Non-Truncated Total Expenses]]-1),"NA")</f>
        <v>NA</v>
      </c>
      <c r="AS57" s="164" t="str">
        <f>IFERROR(IF(ValbyACO_MCaid[[#This Row],[2021 Member Months (sum of ICC2 + 6)]]=0,"NA",ValbyACO_MCaid[[#This Row],[2022 TOTAL Truncated Total Expenses]]/ValbyACO_MCaid[[#This Row],[2021 TOTAL Truncated Total Expenses]]-1),"NA")</f>
        <v>NA</v>
      </c>
    </row>
    <row r="58" spans="1:45" x14ac:dyDescent="0.35">
      <c r="B58" s="250">
        <v>999</v>
      </c>
      <c r="C58" s="291" t="s">
        <v>172</v>
      </c>
      <c r="D58" s="272">
        <f t="shared" si="6"/>
        <v>0</v>
      </c>
      <c r="E58" s="268" t="str">
        <f>IF(ValbyACO_MCaid[[#This Row],[2021 Member Months (sum of ICC2 + 6)]]=0,"NA",(SUMPRODUCT(E72,D72)+SUMPRODUCT(E86,D86))/ValbyACO_MCaid[[#This Row],[2021 Member Months (sum of ICC2 + 6)]])</f>
        <v>NA</v>
      </c>
      <c r="F58" s="268" t="str">
        <f>IF(ValbyACO_MCaid[[#This Row],[2021 Member Months (sum of ICC2 + 6)]]=0,"NA",(SUMPRODUCT(F72,D72)+SUMPRODUCT(F86,D86))/ValbyACO_MCaid[[#This Row],[2021 Member Months (sum of ICC2 + 6)]])</f>
        <v>NA</v>
      </c>
      <c r="G58" s="268" t="str">
        <f>IF(ValbyACO_MCaid[[#This Row],[2021 Member Months (sum of ICC2 + 6)]]=0,"NA",(SUMPRODUCT(G72,D72)+SUMPRODUCT(G86,D86))/ValbyACO_MCaid[[#This Row],[2021 Member Months (sum of ICC2 + 6)]])</f>
        <v>NA</v>
      </c>
      <c r="H58" s="268" t="str">
        <f>IF(ValbyACO_MCaid[[#This Row],[2021 Member Months (sum of ICC2 + 6)]]=0,"NA",(SUMPRODUCT(H72,D72)+SUMPRODUCT(H86,D86))/ValbyACO_MCaid[[#This Row],[2021 Member Months (sum of ICC2 + 6)]])</f>
        <v>NA</v>
      </c>
      <c r="I58" s="268" t="str">
        <f>IF(ValbyACO_MCaid[[#This Row],[2021 Member Months (sum of ICC2 + 6)]]=0,"NA",(SUMPRODUCT(I72,D72)+SUMPRODUCT(I86,D86))/ValbyACO_MCaid[[#This Row],[2021 Member Months (sum of ICC2 + 6)]])</f>
        <v>NA</v>
      </c>
      <c r="J58" s="268" t="str">
        <f>IF(ValbyACO_MCaid[[#This Row],[2021 Member Months (sum of ICC2 + 6)]]=0,"NA",(SUMPRODUCT(J72,D72)+SUMPRODUCT(J86,D86))/ValbyACO_MCaid[[#This Row],[2021 Member Months (sum of ICC2 + 6)]])</f>
        <v>NA</v>
      </c>
      <c r="K58" s="268" t="str">
        <f>IF(ValbyACO_MCaid[[#This Row],[2021 Member Months (sum of ICC2 + 6)]]=0,"NA",(SUMPRODUCT(K72,D72)+SUMPRODUCT(K86,D86))/ValbyACO_MCaid[[#This Row],[2021 Member Months (sum of ICC2 + 6)]])</f>
        <v>NA</v>
      </c>
      <c r="L58" s="268" t="str">
        <f>IF(ValbyACO_MCaid[[#This Row],[2021 Member Months (sum of ICC2 + 6)]]=0,"NA",(SUMPRODUCT(L72,D72)+SUMPRODUCT(L86,D86))/ValbyACO_MCaid[[#This Row],[2021 Member Months (sum of ICC2 + 6)]])</f>
        <v>NA</v>
      </c>
      <c r="M58" s="118" t="str">
        <f>IF(ValbyACO_MCaid[[#This Row],[2021 Member Months (sum of ICC2 + 6)]]=0,"NA",(SUMPRODUCT(M72,D72)+SUMPRODUCT(M86,D86))/ValbyACO_MCaid[[#This Row],[2021 Member Months (sum of ICC2 + 6)]])</f>
        <v>NA</v>
      </c>
      <c r="N58" s="118" t="str">
        <f>IF(ValbyACO_MCaid[[#This Row],[2021 Member Months (sum of ICC2 + 6)]]=0,"NA",(SUMPRODUCT(N72,D72)+SUMPRODUCT(N86,D86))/ValbyACO_MCaid[[#This Row],[2021 Member Months (sum of ICC2 + 6)]])</f>
        <v>NA</v>
      </c>
      <c r="O58" s="118" t="str">
        <f>IF(ValbyACO_MCaid[[#This Row],[2021 Member Months (sum of ICC2 + 6)]]=0,"NA",(SUMPRODUCT(O72,D72)+SUMPRODUCT(O86,D86))/ValbyACO_MCaid[[#This Row],[2021 Member Months (sum of ICC2 + 6)]])</f>
        <v>NA</v>
      </c>
      <c r="P58" s="118" t="str">
        <f>IF(ValbyACO_MCaid[[#This Row],[2021 Member Months (sum of ICC2 + 6)]]=0,"NA",(SUMPRODUCT(P72,D72)+SUMPRODUCT(P86,D86))/ValbyACO_MCaid[[#This Row],[2021 Member Months (sum of ICC2 + 6)]])</f>
        <v>NA</v>
      </c>
      <c r="Q58" s="119" t="str">
        <f>IF(ValbyACO_MCaid[[#This Row],[2021 Member Months (sum of ICC2 + 6)]]=0,"NA",(SUMPRODUCT(Q72,D72)+SUMPRODUCT(Q86,D86))/ValbyACO_MCaid[[#This Row],[2021 Member Months (sum of ICC2 + 6)]])</f>
        <v>NA</v>
      </c>
      <c r="R58" s="192">
        <f t="shared" si="7"/>
        <v>0</v>
      </c>
      <c r="S58" s="118" t="str">
        <f>IF(R58=0,"NA",(SUMPRODUCT(S72,R72)+SUMPRODUCT(S86,R86))/R58)</f>
        <v>NA</v>
      </c>
      <c r="T58" s="118" t="str">
        <f>IF(R58=0,"NA",(SUMPRODUCT(T72,R72)+SUMPRODUCT(T86,R86))/R58)</f>
        <v>NA</v>
      </c>
      <c r="U58" s="118" t="str">
        <f>IF(R58=0,"NA",(SUMPRODUCT(U72,R72)+SUMPRODUCT(U86,R86))/R58)</f>
        <v>NA</v>
      </c>
      <c r="V58" s="118" t="str">
        <f>IF(R58=0,"NA",(SUMPRODUCT(V72,R72)+SUMPRODUCT(V86,R86))/R58)</f>
        <v>NA</v>
      </c>
      <c r="W58" s="118" t="str">
        <f>IF(R58=0,"NA",(SUMPRODUCT(W72,R72)+SUMPRODUCT(W86,R86))/R58)</f>
        <v>NA</v>
      </c>
      <c r="X58" s="118" t="str">
        <f>IF(R58=0,"NA",(SUMPRODUCT(X72,R72)+SUMPRODUCT(X86,R86))/R58)</f>
        <v>NA</v>
      </c>
      <c r="Y58" s="118" t="str">
        <f>IF(R58=0,"NA",(SUMPRODUCT(Y72,R72)+SUMPRODUCT(Y86,R86))/R58)</f>
        <v>NA</v>
      </c>
      <c r="Z58" s="118" t="str">
        <f>IF(R58=0,"NA",(SUMPRODUCT(Z72,R72)+SUMPRODUCT(Z86,R86))/R58)</f>
        <v>NA</v>
      </c>
      <c r="AA58" s="118" t="str">
        <f>IF(ValbyACO_MCaid[[#This Row],[2022 Member Months (sum of ICC2 + 6)]]=0,"NA",(SUMPRODUCT(AA72,R72)+SUMPRODUCT(AA86,R86))/ValbyACO_MCaid[[#This Row],[2022 Member Months (sum of ICC2 + 6)]])</f>
        <v>NA</v>
      </c>
      <c r="AB58" s="118" t="str">
        <f>IF(ValbyACO_MCaid[[#This Row],[2022 Member Months (sum of ICC2 + 6)]]=0,"NA",(SUMPRODUCT(AB72,R72)+SUMPRODUCT(AB86,R86))/ValbyACO_MCaid[[#This Row],[2022 Member Months (sum of ICC2 + 6)]])</f>
        <v>NA</v>
      </c>
      <c r="AC58" s="118" t="str">
        <f>IF(ValbyACO_MCaid[[#This Row],[2022 Member Months (sum of ICC2 + 6)]]=0,"NA",(SUMPRODUCT(AC72,R72)+SUMPRODUCT(AC86,R86))/ValbyACO_MCaid[[#This Row],[2022 Member Months (sum of ICC2 + 6)]])</f>
        <v>NA</v>
      </c>
      <c r="AD58" s="118" t="str">
        <f>IF(ValbyACO_MCaid[[#This Row],[2022 Member Months (sum of ICC2 + 6)]]=0,"NA",(SUMPRODUCT(AD72,R72)+SUMPRODUCT(AD86,R86))/ValbyACO_MCaid[[#This Row],[2022 Member Months (sum of ICC2 + 6)]])</f>
        <v>NA</v>
      </c>
      <c r="AE58" s="130" t="str">
        <f>IF(ValbyACO_MCaid[[#This Row],[2022 Member Months (sum of ICC2 + 6)]]=0,"NA",(SUMPRODUCT(AE72,R72)+SUMPRODUCT(AE86,R86))/ValbyACO_MCaid[[#This Row],[2022 Member Months (sum of ICC2 + 6)]])</f>
        <v>NA</v>
      </c>
      <c r="AF58" s="160" t="str">
        <f>IFERROR(IF(ValbyACO_MCaid[[#This Row],[2021 Member Months (sum of ICC2 + 6)]]=0,"NA",ValbyACO_MCaid[[#This Row],[2022 Member Months (sum of ICC2 + 6)]]/ValbyACO_MCaid[[#This Row],[2021 Member Months (sum of ICC2 + 6)]]-1),"NA")</f>
        <v>NA</v>
      </c>
      <c r="AG58" s="161" t="str">
        <f>IFERROR(IF(ValbyACO_MCaid[[#This Row],[2021 Member Months (sum of ICC2 + 6)]]=0,"NA",ValbyACO_MCaid[[#This Row],[2022 Claims: Hospital Inpatient]]/ValbyACO_MCaid[[#This Row],[2021 Claims: Hospital Inpatient]]-1),"NA")</f>
        <v>NA</v>
      </c>
      <c r="AH58" s="162" t="str">
        <f>IFERROR(IF(ValbyACO_MCaid[[#This Row],[2021 Member Months (sum of ICC2 + 6)]]=0,"NA",ValbyACO_MCaid[[#This Row],[2022 Claims: Hospital Outpatient]]/ValbyACO_MCaid[[#This Row],[2021 Claims: Hospital Outpatient]]-1),"NA")</f>
        <v>NA</v>
      </c>
      <c r="AI58" s="162" t="str">
        <f>IFERROR(IF(ValbyACO_MCaid[[#This Row],[2021 Member Months (sum of ICC2 + 6)]]=0,"NA",ValbyACO_MCaid[[#This Row],[2022 Claims: Professional, Primary Care]]/ValbyACO_MCaid[[#This Row],[2021 Claims: Professional, Primary Care]]-1),"NA")</f>
        <v>NA</v>
      </c>
      <c r="AJ58" s="162" t="str">
        <f>IFERROR(IF(ValbyACO_MCaid[[#This Row],[2021 Member Months (sum of ICC2 + 6)]]=0,"NA",ValbyACO_MCaid[[#This Row],[2022 Claims: Professional, Specialty Care]]/ValbyACO_MCaid[[#This Row],[2021 Claims: Professional, Specialty Care]]-1),"NA")</f>
        <v>NA</v>
      </c>
      <c r="AK58" s="162" t="str">
        <f>IFERROR(IF(ValbyACO_MCaid[[#This Row],[2021 Member Months (sum of ICC2 + 6)]]=0,"NA", ValbyACO_MCaid[[#This Row],[2022 Claims: Professional Other]]/ValbyACO_MCaid[[#This Row],[2021 Claims: Professional Other]]-1),"NA")</f>
        <v>NA</v>
      </c>
      <c r="AL58" s="162" t="str">
        <f>IFERROR(IF(ValbyACO_MCaid[[#This Row],[2021 Member Months (sum of ICC2 + 6)]]=0,"NA",ValbyACO_MCaid[[#This Row],[2022 Claims: Pharmacy (Gross of Retail Pharmacy Rebates)]]/ValbyACO_MCaid[[#This Row],[2021 Claims: Pharmacy (Gross of  Rebates)]]-1),"NA")</f>
        <v>NA</v>
      </c>
      <c r="AM58" s="162" t="str">
        <f>IFERROR(IF(ValbyACO_MCaid[[#This Row],[2021 Member Months (sum of ICC2 + 6)]]=0,"NA",ValbyACO_MCaid[[#This Row],[2022 Claims: Long-term Care]]/ValbyACO_MCaid[[#This Row],[2021 Claims: Long-term Care]]-1),"NA")</f>
        <v>NA</v>
      </c>
      <c r="AN58" s="162" t="str">
        <f>IFERROR(IF(ValbyACO_MCaid[[#This Row],[2021 Member Months (sum of ICC2 + 6)]]=0,"NA",ValbyACO_MCaid[[#This Row],[2022 Claims: Other]]/ValbyACO_MCaid[[#This Row],[2021 Claims: Other]]-1),"NA")</f>
        <v>NA</v>
      </c>
      <c r="AO58" s="163" t="str">
        <f>IFERROR(IF(ValbyACO_MCaid[[#This Row],[2021 Member Months (sum of ICC2 + 6)]]=0,"NA",ValbyACO_MCaid[[#This Row],[2022 TOTAL Non-Truncated Claims Expenses]]/ValbyACO_MCaid[[#This Row],[2021 TOTAL Non-Truncated Claims Expenses]]-1),"NA")</f>
        <v>NA</v>
      </c>
      <c r="AP58" s="163" t="str">
        <f>IFERROR(IF(ValbyACO_MCaid[[#This Row],[2021 Member Months (sum of ICC2 + 6)]]=0,"NA",ValbyACO_MCaid[[#This Row],[2022 TOTAL Truncated Claims Expenses]]/ValbyACO_MCaid[[#This Row],[2021 TOTAL Truncated Claims Expenses]]-1),"NA")</f>
        <v>NA</v>
      </c>
      <c r="AQ58" s="163" t="str">
        <f>IFERROR(IF(ValbyACO_MCaid[[#This Row],[2021 Member Months (sum of ICC2 + 6)]]=0,"NA",ValbyACO_MCaid[[#This Row],[2022 TOTAL Non-Claims Expenses]]/ValbyACO_MCaid[[#This Row],[2021 TOTAL Non-Claims Expenses]]-1),"NA")</f>
        <v>NA</v>
      </c>
      <c r="AR58" s="163" t="str">
        <f>IFERROR(IF(ValbyACO_MCaid[[#This Row],[2021 Member Months (sum of ICC2 + 6)]]=0,"NA",ValbyACO_MCaid[[#This Row],[2022 TOTAL Non-Truncated Total Expenses]]/ValbyACO_MCaid[[#This Row],[2021 TOTAL Non-Truncated Total Expenses]]-1),"NA")</f>
        <v>NA</v>
      </c>
      <c r="AS58" s="164" t="str">
        <f>IFERROR(IF(ValbyACO_MCaid[[#This Row],[2021 Member Months (sum of ICC2 + 6)]]=0,"NA",ValbyACO_MCaid[[#This Row],[2022 TOTAL Truncated Total Expenses]]/ValbyACO_MCaid[[#This Row],[2021 TOTAL Truncated Total Expenses]]-1),"NA")</f>
        <v>NA</v>
      </c>
    </row>
    <row r="59" spans="1:45" x14ac:dyDescent="0.35">
      <c r="B59" s="251"/>
      <c r="C59" s="292" t="s">
        <v>118</v>
      </c>
      <c r="D59" s="273">
        <f>SUM(D50:D58)</f>
        <v>0</v>
      </c>
      <c r="E59" s="269" t="str">
        <f>IF(ValbyACO_MCaid[[#This Row],[2021 Member Months (sum of ICC2 + 6)]]=0,"NA",(SUMPRODUCT(E73,D73)+SUMPRODUCT(E87,D87))/ValbyACO_MCaid[[#This Row],[2021 Member Months (sum of ICC2 + 6)]])</f>
        <v>NA</v>
      </c>
      <c r="F59" s="269" t="str">
        <f>IF(ValbyACO_MCaid[[#This Row],[2021 Member Months (sum of ICC2 + 6)]]=0,"NA",(SUMPRODUCT(F73,D73)+SUMPRODUCT(F87,D87))/ValbyACO_MCaid[[#This Row],[2021 Member Months (sum of ICC2 + 6)]])</f>
        <v>NA</v>
      </c>
      <c r="G59" s="269" t="str">
        <f>IF(ValbyACO_MCaid[[#This Row],[2021 Member Months (sum of ICC2 + 6)]]=0,"NA",(SUMPRODUCT(G73,D73)+SUMPRODUCT(G87,D87))/ValbyACO_MCaid[[#This Row],[2021 Member Months (sum of ICC2 + 6)]])</f>
        <v>NA</v>
      </c>
      <c r="H59" s="269" t="str">
        <f>IF(ValbyACO_MCaid[[#This Row],[2021 Member Months (sum of ICC2 + 6)]]=0,"NA",(SUMPRODUCT(H73,D73)+SUMPRODUCT(H87,D87))/ValbyACO_MCaid[[#This Row],[2021 Member Months (sum of ICC2 + 6)]])</f>
        <v>NA</v>
      </c>
      <c r="I59" s="269" t="str">
        <f>IF(ValbyACO_MCaid[[#This Row],[2021 Member Months (sum of ICC2 + 6)]]=0,"NA",(SUMPRODUCT(I73,D73)+SUMPRODUCT(I87,D87))/ValbyACO_MCaid[[#This Row],[2021 Member Months (sum of ICC2 + 6)]])</f>
        <v>NA</v>
      </c>
      <c r="J59" s="269" t="str">
        <f>IF(ValbyACO_MCaid[[#This Row],[2021 Member Months (sum of ICC2 + 6)]]=0,"NA",(SUMPRODUCT(J73,D73)+SUMPRODUCT(J87,D87))/ValbyACO_MCaid[[#This Row],[2021 Member Months (sum of ICC2 + 6)]])</f>
        <v>NA</v>
      </c>
      <c r="K59" s="269" t="str">
        <f>IF(ValbyACO_MCaid[[#This Row],[2021 Member Months (sum of ICC2 + 6)]]=0,"NA",(SUMPRODUCT(K73,D73)+SUMPRODUCT(K87,D87))/ValbyACO_MCaid[[#This Row],[2021 Member Months (sum of ICC2 + 6)]])</f>
        <v>NA</v>
      </c>
      <c r="L59" s="269" t="str">
        <f>IF(ValbyACO_MCaid[[#This Row],[2021 Member Months (sum of ICC2 + 6)]]=0,"NA",(SUMPRODUCT(L73,D73)+SUMPRODUCT(L87,D87))/ValbyACO_MCaid[[#This Row],[2021 Member Months (sum of ICC2 + 6)]])</f>
        <v>NA</v>
      </c>
      <c r="M59" s="123" t="str">
        <f>IF(ValbyACO_MCaid[[#This Row],[2021 Member Months (sum of ICC2 + 6)]]=0,"NA",(SUMPRODUCT(M73,D73)+SUMPRODUCT(M87,D87))/ValbyACO_MCaid[[#This Row],[2021 Member Months (sum of ICC2 + 6)]])</f>
        <v>NA</v>
      </c>
      <c r="N59" s="123" t="str">
        <f>IF(ValbyACO_MCaid[[#This Row],[2021 Member Months (sum of ICC2 + 6)]]=0,"NA",(SUMPRODUCT(N73,D73)+SUMPRODUCT(N87,D87))/ValbyACO_MCaid[[#This Row],[2021 Member Months (sum of ICC2 + 6)]])</f>
        <v>NA</v>
      </c>
      <c r="O59" s="123" t="str">
        <f>IF(ValbyACO_MCaid[[#This Row],[2021 Member Months (sum of ICC2 + 6)]]=0,"NA",(SUMPRODUCT(O73,D73)+SUMPRODUCT(O87,D87))/ValbyACO_MCaid[[#This Row],[2021 Member Months (sum of ICC2 + 6)]])</f>
        <v>NA</v>
      </c>
      <c r="P59" s="123" t="str">
        <f>IF(ValbyACO_MCaid[[#This Row],[2021 Member Months (sum of ICC2 + 6)]]=0,"NA",(SUMPRODUCT(P73,D73)+SUMPRODUCT(P87,D87))/ValbyACO_MCaid[[#This Row],[2021 Member Months (sum of ICC2 + 6)]])</f>
        <v>NA</v>
      </c>
      <c r="Q59" s="125" t="str">
        <f>IF(ValbyACO_MCaid[[#This Row],[2021 Member Months (sum of ICC2 + 6)]]=0,"NA",(SUMPRODUCT(Q73,D73)+SUMPRODUCT(Q87,D87))/ValbyACO_MCaid[[#This Row],[2021 Member Months (sum of ICC2 + 6)]])</f>
        <v>NA</v>
      </c>
      <c r="R59" s="193">
        <f t="shared" si="7"/>
        <v>0</v>
      </c>
      <c r="S59" s="123" t="str">
        <f>IF(R59=0,"NA",(SUMPRODUCT(S73,R73)+SUMPRODUCT(S87,R87))/R59)</f>
        <v>NA</v>
      </c>
      <c r="T59" s="123" t="str">
        <f>IF(R59=0,"NA",(SUMPRODUCT(T73,R73)+SUMPRODUCT(T87,R87))/R59)</f>
        <v>NA</v>
      </c>
      <c r="U59" s="123" t="str">
        <f>IF(R59=0,"NA",(SUMPRODUCT(U73,R73)+SUMPRODUCT(U87,R87))/R59)</f>
        <v>NA</v>
      </c>
      <c r="V59" s="123" t="str">
        <f>IF(R59=0,"NA",(SUMPRODUCT(V73,R73)+SUMPRODUCT(V87,R87))/R59)</f>
        <v>NA</v>
      </c>
      <c r="W59" s="123" t="str">
        <f>IF(R59=0,"NA",(SUMPRODUCT(W73,R73)+SUMPRODUCT(W87,R87))/R59)</f>
        <v>NA</v>
      </c>
      <c r="X59" s="123" t="str">
        <f>IF(R59=0,"NA",(SUMPRODUCT(X73,R73)+SUMPRODUCT(X87,R87))/R59)</f>
        <v>NA</v>
      </c>
      <c r="Y59" s="123" t="str">
        <f>IF(R59=0,"NA",(SUMPRODUCT(Y73,R73)+SUMPRODUCT(Y87,R87))/R59)</f>
        <v>NA</v>
      </c>
      <c r="Z59" s="123" t="str">
        <f>IF(R59=0,"NA",(SUMPRODUCT(Z73,R73)+SUMPRODUCT(Z87,R87))/R59)</f>
        <v>NA</v>
      </c>
      <c r="AA59" s="118" t="str">
        <f>IF(ValbyACO_MCaid[[#This Row],[2022 Member Months (sum of ICC2 + 6)]]=0,"NA",(SUMPRODUCT(AA73,R73)+SUMPRODUCT(AA87,R87))/ValbyACO_MCaid[[#This Row],[2022 Member Months (sum of ICC2 + 6)]])</f>
        <v>NA</v>
      </c>
      <c r="AB59" s="118" t="str">
        <f>IF(ValbyACO_MCaid[[#This Row],[2022 Member Months (sum of ICC2 + 6)]]=0,"NA",(SUMPRODUCT(AB73,R73)+SUMPRODUCT(AB87,R87))/ValbyACO_MCaid[[#This Row],[2022 Member Months (sum of ICC2 + 6)]])</f>
        <v>NA</v>
      </c>
      <c r="AC59" s="118" t="str">
        <f>IF(ValbyACO_MCaid[[#This Row],[2022 Member Months (sum of ICC2 + 6)]]=0,"NA",(SUMPRODUCT(AC73,R73)+SUMPRODUCT(AC87,R87))/ValbyACO_MCaid[[#This Row],[2022 Member Months (sum of ICC2 + 6)]])</f>
        <v>NA</v>
      </c>
      <c r="AD59" s="118" t="str">
        <f>IF(ValbyACO_MCaid[[#This Row],[2022 Member Months (sum of ICC2 + 6)]]=0,"NA",(SUMPRODUCT(AD73,R73)+SUMPRODUCT(AD87,R87))/ValbyACO_MCaid[[#This Row],[2022 Member Months (sum of ICC2 + 6)]])</f>
        <v>NA</v>
      </c>
      <c r="AE59" s="130" t="str">
        <f>IF(ValbyACO_MCaid[[#This Row],[2022 Member Months (sum of ICC2 + 6)]]=0,"NA",(SUMPRODUCT(AE73,R73)+SUMPRODUCT(AE87,R87))/ValbyACO_MCaid[[#This Row],[2022 Member Months (sum of ICC2 + 6)]])</f>
        <v>NA</v>
      </c>
      <c r="AF59" s="165" t="str">
        <f>IFERROR(IF(ValbyACO_MCaid[[#This Row],[2021 Member Months (sum of ICC2 + 6)]]=0,"NA",ValbyACO_MCaid[[#This Row],[2022 Member Months (sum of ICC2 + 6)]]/ValbyACO_MCaid[[#This Row],[2021 Member Months (sum of ICC2 + 6)]]-1),"NA")</f>
        <v>NA</v>
      </c>
      <c r="AG59" s="166" t="str">
        <f>IFERROR(IF(ValbyACO_MCaid[[#This Row],[2021 Member Months (sum of ICC2 + 6)]]=0,"NA",ValbyACO_MCaid[[#This Row],[2022 Claims: Hospital Inpatient]]/ValbyACO_MCaid[[#This Row],[2021 Claims: Hospital Inpatient]]-1),"NA")</f>
        <v>NA</v>
      </c>
      <c r="AH59" s="167" t="str">
        <f>IFERROR(IF(ValbyACO_MCaid[[#This Row],[2021 Member Months (sum of ICC2 + 6)]]=0,"NA",ValbyACO_MCaid[[#This Row],[2022 Claims: Hospital Outpatient]]/ValbyACO_MCaid[[#This Row],[2021 Claims: Hospital Outpatient]]-1),"NA")</f>
        <v>NA</v>
      </c>
      <c r="AI59" s="167" t="str">
        <f>IFERROR(IF(ValbyACO_MCaid[[#This Row],[2021 Member Months (sum of ICC2 + 6)]]=0,"NA",ValbyACO_MCaid[[#This Row],[2022 Claims: Professional, Primary Care]]/ValbyACO_MCaid[[#This Row],[2021 Claims: Professional, Primary Care]]-1),"NA")</f>
        <v>NA</v>
      </c>
      <c r="AJ59" s="167" t="str">
        <f>IFERROR(IF(ValbyACO_MCaid[[#This Row],[2021 Member Months (sum of ICC2 + 6)]]=0,"NA",ValbyACO_MCaid[[#This Row],[2022 Claims: Professional, Specialty Care]]/ValbyACO_MCaid[[#This Row],[2021 Claims: Professional, Specialty Care]]-1),"NA")</f>
        <v>NA</v>
      </c>
      <c r="AK59" s="167" t="str">
        <f>IFERROR(IF(ValbyACO_MCaid[[#This Row],[2021 Member Months (sum of ICC2 + 6)]]=0,"NA", ValbyACO_MCaid[[#This Row],[2022 Claims: Professional Other]]/ValbyACO_MCaid[[#This Row],[2021 Claims: Professional Other]]-1),"NA")</f>
        <v>NA</v>
      </c>
      <c r="AL59" s="167" t="str">
        <f>IFERROR(IF(ValbyACO_MCaid[[#This Row],[2021 Member Months (sum of ICC2 + 6)]]=0,"NA",ValbyACO_MCaid[[#This Row],[2022 Claims: Pharmacy (Gross of Retail Pharmacy Rebates)]]/ValbyACO_MCaid[[#This Row],[2021 Claims: Pharmacy (Gross of  Rebates)]]-1),"NA")</f>
        <v>NA</v>
      </c>
      <c r="AM59" s="167" t="str">
        <f>IFERROR(IF(ValbyACO_MCaid[[#This Row],[2021 Member Months (sum of ICC2 + 6)]]=0,"NA",ValbyACO_MCaid[[#This Row],[2022 Claims: Long-term Care]]/ValbyACO_MCaid[[#This Row],[2021 Claims: Long-term Care]]-1),"NA")</f>
        <v>NA</v>
      </c>
      <c r="AN59" s="167" t="str">
        <f>IFERROR(IF(ValbyACO_MCaid[[#This Row],[2021 Member Months (sum of ICC2 + 6)]]=0,"NA",ValbyACO_MCaid[[#This Row],[2022 Claims: Other]]/ValbyACO_MCaid[[#This Row],[2021 Claims: Other]]-1),"NA")</f>
        <v>NA</v>
      </c>
      <c r="AO59" s="168" t="str">
        <f>IFERROR(IF(ValbyACO_MCaid[[#This Row],[2021 Member Months (sum of ICC2 + 6)]]=0,"NA",ValbyACO_MCaid[[#This Row],[2022 TOTAL Non-Truncated Claims Expenses]]/ValbyACO_MCaid[[#This Row],[2021 TOTAL Non-Truncated Claims Expenses]]-1),"NA")</f>
        <v>NA</v>
      </c>
      <c r="AP59" s="168" t="str">
        <f>IFERROR(IF(ValbyACO_MCaid[[#This Row],[2021 Member Months (sum of ICC2 + 6)]]=0,"NA",ValbyACO_MCaid[[#This Row],[2022 TOTAL Truncated Claims Expenses]]/ValbyACO_MCaid[[#This Row],[2021 TOTAL Truncated Claims Expenses]]-1),"NA")</f>
        <v>NA</v>
      </c>
      <c r="AQ59" s="168" t="str">
        <f>IFERROR(IF(ValbyACO_MCaid[[#This Row],[2021 Member Months (sum of ICC2 + 6)]]=0,"NA",ValbyACO_MCaid[[#This Row],[2022 TOTAL Non-Claims Expenses]]/ValbyACO_MCaid[[#This Row],[2021 TOTAL Non-Claims Expenses]]-1),"NA")</f>
        <v>NA</v>
      </c>
      <c r="AR59" s="168" t="str">
        <f>IFERROR(IF(ValbyACO_MCaid[[#This Row],[2021 Member Months (sum of ICC2 + 6)]]=0,"NA",ValbyACO_MCaid[[#This Row],[2022 TOTAL Non-Truncated Total Expenses]]/ValbyACO_MCaid[[#This Row],[2021 TOTAL Non-Truncated Total Expenses]]-1),"NA")</f>
        <v>NA</v>
      </c>
      <c r="AS59" s="169" t="str">
        <f>IFERROR(IF(ValbyACO_MCaid[[#This Row],[2021 Member Months (sum of ICC2 + 6)]]=0,"NA",ValbyACO_MCaid[[#This Row],[2022 TOTAL Truncated Total Expenses]]/ValbyACO_MCaid[[#This Row],[2021 TOTAL Truncated Total Expenses]]-1),"NA")</f>
        <v>NA</v>
      </c>
    </row>
    <row r="60" spans="1:45" ht="15" thickBot="1" x14ac:dyDescent="0.4">
      <c r="B60" s="255"/>
      <c r="C60" s="293" t="s">
        <v>119</v>
      </c>
      <c r="D60" s="274">
        <f>D59</f>
        <v>0</v>
      </c>
      <c r="E60" s="330"/>
      <c r="F60" s="330"/>
      <c r="G60" s="330"/>
      <c r="H60" s="330"/>
      <c r="I60" s="330"/>
      <c r="J60" s="269" t="str">
        <f>IF(ValbyACO_MCaid[[#This Row],[2021 Member Months (sum of ICC2 + 6)]]=0,"NA",(SUMPRODUCT(J74,D74)+SUMPRODUCT(J88,D88))/ValbyACO_MCaid[[#This Row],[2021 Member Months (sum of ICC2 + 6)]])</f>
        <v>NA</v>
      </c>
      <c r="K60" s="330"/>
      <c r="L60" s="330"/>
      <c r="M60" s="123" t="str">
        <f>IF(ValbyACO_MCaid[[#This Row],[2021 Member Months (sum of ICC2 + 6)]]=0,"NA",(SUMPRODUCT(M74,D74)+SUMPRODUCT(M88,D88))/ValbyACO_MCaid[[#This Row],[2021 Member Months (sum of ICC2 + 6)]])</f>
        <v>NA</v>
      </c>
      <c r="N60" s="123" t="str">
        <f>IF(ValbyACO_MCaid[[#This Row],[2021 Member Months (sum of ICC2 + 6)]]=0,"NA",(SUMPRODUCT(N74,D74)+SUMPRODUCT(N88,D88))/ValbyACO_MCaid[[#This Row],[2021 Member Months (sum of ICC2 + 6)]])</f>
        <v>NA</v>
      </c>
      <c r="O60" s="123" t="str">
        <f>IF(ValbyACO_MCaid[[#This Row],[2021 Member Months (sum of ICC2 + 6)]]=0,"NA",(SUMPRODUCT(O74,D74)+SUMPRODUCT(O88,D88))/ValbyACO_MCaid[[#This Row],[2021 Member Months (sum of ICC2 + 6)]])</f>
        <v>NA</v>
      </c>
      <c r="P60" s="123" t="str">
        <f>IF(ValbyACO_MCaid[[#This Row],[2021 Member Months (sum of ICC2 + 6)]]=0,"NA",(SUMPRODUCT(P74,D74)+SUMPRODUCT(P88,D88))/ValbyACO_MCaid[[#This Row],[2021 Member Months (sum of ICC2 + 6)]])</f>
        <v>NA</v>
      </c>
      <c r="Q60" s="125" t="str">
        <f>IF(ValbyACO_MCaid[[#This Row],[2021 Member Months (sum of ICC2 + 6)]]=0,"NA",(SUMPRODUCT(Q74,D74)+SUMPRODUCT(Q88,D88))/ValbyACO_MCaid[[#This Row],[2021 Member Months (sum of ICC2 + 6)]])</f>
        <v>NA</v>
      </c>
      <c r="R60" s="193">
        <f t="shared" si="7"/>
        <v>0</v>
      </c>
      <c r="S60" s="331"/>
      <c r="T60" s="331"/>
      <c r="U60" s="331"/>
      <c r="V60" s="331"/>
      <c r="W60" s="331"/>
      <c r="X60" s="123" t="str">
        <f>IF(R60=0,"NA",(SUMPRODUCT(X74,R74)+SUMPRODUCT(X88,R88))/R60)</f>
        <v>NA</v>
      </c>
      <c r="Y60" s="331"/>
      <c r="Z60" s="331"/>
      <c r="AA60" s="118" t="str">
        <f>IF(ValbyACO_MCaid[[#This Row],[2022 Member Months (sum of ICC2 + 6)]]=0,"NA",(SUMPRODUCT(AA74,R74)+SUMPRODUCT(AA88,R88))/ValbyACO_MCaid[[#This Row],[2022 Member Months (sum of ICC2 + 6)]])</f>
        <v>NA</v>
      </c>
      <c r="AB60" s="118" t="str">
        <f>IF(ValbyACO_MCaid[[#This Row],[2022 Member Months (sum of ICC2 + 6)]]=0,"NA",(SUMPRODUCT(AB74,R74)+SUMPRODUCT(AB88,R88))/ValbyACO_MCaid[[#This Row],[2022 Member Months (sum of ICC2 + 6)]])</f>
        <v>NA</v>
      </c>
      <c r="AC60" s="118" t="str">
        <f>IF(ValbyACO_MCaid[[#This Row],[2022 Member Months (sum of ICC2 + 6)]]=0,"NA",(SUMPRODUCT(AC74,R74)+SUMPRODUCT(AC88,R88))/ValbyACO_MCaid[[#This Row],[2022 Member Months (sum of ICC2 + 6)]])</f>
        <v>NA</v>
      </c>
      <c r="AD60" s="118" t="str">
        <f>IF(ValbyACO_MCaid[[#This Row],[2022 Member Months (sum of ICC2 + 6)]]=0,"NA",(SUMPRODUCT(AD74,R74)+SUMPRODUCT(AD88,R88))/ValbyACO_MCaid[[#This Row],[2022 Member Months (sum of ICC2 + 6)]])</f>
        <v>NA</v>
      </c>
      <c r="AE60" s="130" t="str">
        <f>IF(ValbyACO_MCaid[[#This Row],[2022 Member Months (sum of ICC2 + 6)]]=0,"NA",(SUMPRODUCT(AE74,R74)+SUMPRODUCT(AE88,R88))/ValbyACO_MCaid[[#This Row],[2022 Member Months (sum of ICC2 + 6)]])</f>
        <v>NA</v>
      </c>
      <c r="AF60" s="165" t="str">
        <f>IFERROR(IF(ValbyACO_MCaid[[#This Row],[2021 Member Months (sum of ICC2 + 6)]]=0,"NA",ValbyACO_MCaid[[#This Row],[2022 Member Months (sum of ICC2 + 6)]]/ValbyACO_MCaid[[#This Row],[2021 Member Months (sum of ICC2 + 6)]]-1),"NA")</f>
        <v>NA</v>
      </c>
      <c r="AG60" s="333"/>
      <c r="AH60" s="332"/>
      <c r="AI60" s="332"/>
      <c r="AJ60" s="332"/>
      <c r="AK60" s="332"/>
      <c r="AL60" s="167" t="str">
        <f>IFERROR(IF(ValbyACO_MCaid[[#This Row],[2021 Member Months (sum of ICC2 + 6)]]=0,"NA",ValbyACO_MCaid[[#This Row],[2022 Claims: Pharmacy (Gross of Retail Pharmacy Rebates)]]/ValbyACO_MCaid[[#This Row],[2021 Claims: Pharmacy (Gross of  Rebates)]]-1),"NA")</f>
        <v>NA</v>
      </c>
      <c r="AM60" s="332"/>
      <c r="AN60" s="332"/>
      <c r="AO60" s="168" t="str">
        <f>IFERROR(IF(ValbyACO_MCaid[[#This Row],[2021 Member Months (sum of ICC2 + 6)]]=0,"NA",ValbyACO_MCaid[[#This Row],[2022 TOTAL Non-Truncated Claims Expenses]]/ValbyACO_MCaid[[#This Row],[2021 TOTAL Non-Truncated Claims Expenses]]-1),"NA")</f>
        <v>NA</v>
      </c>
      <c r="AP60" s="168" t="str">
        <f>IFERROR(IF(ValbyACO_MCaid[[#This Row],[2021 Member Months (sum of ICC2 + 6)]]=0,"NA",ValbyACO_MCaid[[#This Row],[2022 TOTAL Truncated Claims Expenses]]/ValbyACO_MCaid[[#This Row],[2021 TOTAL Truncated Claims Expenses]]-1),"NA")</f>
        <v>NA</v>
      </c>
      <c r="AQ60" s="168" t="str">
        <f>IFERROR(IF(ValbyACO_MCaid[[#This Row],[2021 Member Months (sum of ICC2 + 6)]]=0,"NA",ValbyACO_MCaid[[#This Row],[2022 TOTAL Non-Claims Expenses]]/ValbyACO_MCaid[[#This Row],[2021 TOTAL Non-Claims Expenses]]-1),"NA")</f>
        <v>NA</v>
      </c>
      <c r="AR60" s="168" t="str">
        <f>IFERROR(IF(ValbyACO_MCaid[[#This Row],[2021 Member Months (sum of ICC2 + 6)]]=0,"NA",ValbyACO_MCaid[[#This Row],[2022 TOTAL Non-Truncated Total Expenses]]/ValbyACO_MCaid[[#This Row],[2021 TOTAL Non-Truncated Total Expenses]]-1),"NA")</f>
        <v>NA</v>
      </c>
      <c r="AS60" s="169" t="str">
        <f>IFERROR(IF(ValbyACO_MCaid[[#This Row],[2021 Member Months (sum of ICC2 + 6)]]=0,"NA",ValbyACO_MCaid[[#This Row],[2022 TOTAL Truncated Total Expenses]]/ValbyACO_MCaid[[#This Row],[2021 TOTAL Truncated Total Expenses]]-1),"NA")</f>
        <v>NA</v>
      </c>
    </row>
    <row r="62" spans="1:45" ht="16" thickBot="1" x14ac:dyDescent="0.4">
      <c r="B62" s="42" t="s">
        <v>204</v>
      </c>
      <c r="C62" s="42"/>
      <c r="E62" s="15">
        <v>2</v>
      </c>
    </row>
    <row r="63" spans="1:45" ht="43.5" x14ac:dyDescent="0.35">
      <c r="B63" s="280" t="s">
        <v>159</v>
      </c>
      <c r="C63" s="281" t="s">
        <v>542</v>
      </c>
      <c r="D63" s="319" t="s">
        <v>544</v>
      </c>
      <c r="E63" s="311" t="s">
        <v>545</v>
      </c>
      <c r="F63" s="311" t="s">
        <v>546</v>
      </c>
      <c r="G63" s="311" t="s">
        <v>547</v>
      </c>
      <c r="H63" s="311" t="s">
        <v>548</v>
      </c>
      <c r="I63" s="311" t="s">
        <v>549</v>
      </c>
      <c r="J63" s="311" t="s">
        <v>665</v>
      </c>
      <c r="K63" s="311" t="s">
        <v>550</v>
      </c>
      <c r="L63" s="311" t="s">
        <v>551</v>
      </c>
      <c r="M63" s="311" t="s">
        <v>552</v>
      </c>
      <c r="N63" s="311" t="s">
        <v>553</v>
      </c>
      <c r="O63" s="311" t="s">
        <v>554</v>
      </c>
      <c r="P63" s="311" t="s">
        <v>555</v>
      </c>
      <c r="Q63" s="320" t="s">
        <v>556</v>
      </c>
      <c r="R63" s="319" t="s">
        <v>662</v>
      </c>
      <c r="S63" s="311" t="s">
        <v>649</v>
      </c>
      <c r="T63" s="311" t="s">
        <v>650</v>
      </c>
      <c r="U63" s="311" t="s">
        <v>651</v>
      </c>
      <c r="V63" s="311" t="s">
        <v>652</v>
      </c>
      <c r="W63" s="311" t="s">
        <v>653</v>
      </c>
      <c r="X63" s="311" t="s">
        <v>654</v>
      </c>
      <c r="Y63" s="311" t="s">
        <v>655</v>
      </c>
      <c r="Z63" s="311" t="s">
        <v>656</v>
      </c>
      <c r="AA63" s="311" t="s">
        <v>657</v>
      </c>
      <c r="AB63" s="311" t="s">
        <v>658</v>
      </c>
      <c r="AC63" s="311" t="s">
        <v>659</v>
      </c>
      <c r="AD63" s="311" t="s">
        <v>660</v>
      </c>
      <c r="AE63" s="320" t="s">
        <v>661</v>
      </c>
      <c r="AF63" s="393" t="s">
        <v>557</v>
      </c>
      <c r="AG63" s="394" t="s">
        <v>558</v>
      </c>
      <c r="AH63" s="394" t="s">
        <v>559</v>
      </c>
      <c r="AI63" s="394" t="s">
        <v>560</v>
      </c>
      <c r="AJ63" s="394" t="s">
        <v>561</v>
      </c>
      <c r="AK63" s="394" t="s">
        <v>562</v>
      </c>
      <c r="AL63" s="394" t="s">
        <v>563</v>
      </c>
      <c r="AM63" s="394" t="s">
        <v>564</v>
      </c>
      <c r="AN63" s="394" t="s">
        <v>565</v>
      </c>
      <c r="AO63" s="394" t="s">
        <v>566</v>
      </c>
      <c r="AP63" s="394" t="s">
        <v>567</v>
      </c>
      <c r="AQ63" s="394" t="s">
        <v>568</v>
      </c>
      <c r="AR63" s="394" t="s">
        <v>569</v>
      </c>
      <c r="AS63" s="394" t="s">
        <v>570</v>
      </c>
    </row>
    <row r="64" spans="1:45" x14ac:dyDescent="0.35">
      <c r="A64" s="129"/>
      <c r="B64" s="250">
        <v>101</v>
      </c>
      <c r="C64" s="291" t="s">
        <v>167</v>
      </c>
      <c r="D64" s="272">
        <f>SUMIFS(ACOAETME2021[[#All],[Member Months]], ACOAETME2021[[#All],[Insurance Category Code]], $E$62, ACOAETME2021[[#All],[ACO/AE or Insurer Overall Organization ID]], ValbyACO_ICC2[[#This Row],[Org ID]])</f>
        <v>0</v>
      </c>
      <c r="E64" s="268" t="str">
        <f>IFERROR(IF(ValbyACO_ICC2[[#This Row],[2021 Member Months]]=0,"NA",SUMIFS(ACOAETME2021[[#All],[Claims: Hospital Inpatient]], ACOAETME2021[[#All],[Insurance Category Code]], $E$62, ACOAETME2021[[#All],[ACO/AE or Insurer Overall Organization ID]], ValbyACO_ICC2[[#This Row],[Org ID]])/ValbyACO_ICC2[[#This Row],[2021 Member Months]]), "NA")</f>
        <v>NA</v>
      </c>
      <c r="F64" s="268" t="str">
        <f>IFERROR(IF(ValbyACO_ICC2[[#This Row],[2021 Member Months]]=0,"NA",SUMIFS(ACOAETME2021[[#All],[Claims: Hospital Outpatient]], ACOAETME2021[[#All],[Insurance Category Code]], $E$62, ACOAETME2021[[#All],[ACO/AE or Insurer Overall Organization ID]], ValbyACO_ICC2[[#This Row],[Org ID]])/ValbyACO_ICC2[[#This Row],[2021 Member Months]]), "NA")</f>
        <v>NA</v>
      </c>
      <c r="G64" s="268" t="str">
        <f>IFERROR(IF(ValbyACO_ICC2[[#This Row],[2021 Member Months]]=0,"NA",SUMIFS(ACOAETME2021[[#All],[Claims: Professional, Primary Care]], ACOAETME2021[[#All],[Insurance Category Code]], $E$62, ACOAETME2021[[#All],[ACO/AE or Insurer Overall Organization ID]], ValbyACO_ICC2[[#This Row],[Org ID]])/ValbyACO_ICC2[[#This Row],[2021 Member Months]]), "NA")</f>
        <v>NA</v>
      </c>
      <c r="H64" s="268" t="str">
        <f>IFERROR(IF(ValbyACO_ICC2[[#This Row],[2021 Member Months]]=0,"NA",SUMIFS(ACOAETME2021[[#All],[Claims: Professional, Specialty Care]], ACOAETME2021[[#All],[Insurance Category Code]], $E$62, ACOAETME2021[[#All],[ACO/AE or Insurer Overall Organization ID]], ValbyACO_ICC2[[#This Row],[Org ID]])/ValbyACO_ICC2[[#This Row],[2021 Member Months]]), "NA")</f>
        <v>NA</v>
      </c>
      <c r="I64" s="268" t="str">
        <f>IFERROR(IF(ValbyACO_ICC2[[#This Row],[2021 Member Months]]=0,"NA",SUMIFS(ACOAETME2021[[#All],[Claims: Professional Other]], ACOAETME2021[[#All],[Insurance Category Code]], $E$62, ACOAETME2021[[#All],[ACO/AE or Insurer Overall Organization ID]], ValbyACO_ICC2[[#This Row],[Org ID]])/ValbyACO_ICC2[[#This Row],[2021 Member Months]]), "NA")</f>
        <v>NA</v>
      </c>
      <c r="J64" s="268" t="str">
        <f>IFERROR(IF(ValbyACO_ICC2[[#This Row],[2021 Member Months]]=0,"NA",SUMIFS(ACOAETME2021[[#All],[Claims: Pharmacy]], ACOAETME2021[[#All],[Insurance Category Code]], $E$62, ACOAETME2021[[#All],[ACO/AE or Insurer Overall Organization ID]], ValbyACO_ICC2[[#This Row],[Org ID]])/ValbyACO_ICC2[[#This Row],[2021 Member Months]]), "NA")</f>
        <v>NA</v>
      </c>
      <c r="K64" s="268" t="str">
        <f>IFERROR(IF(ValbyACO_ICC2[[#This Row],[2021 Member Months]]=0,"NA",SUMIFS(ACOAETME2021[[#All],[Claims: Long-Term Care]], ACOAETME2021[[#All],[Insurance Category Code]], $E$62, ACOAETME2021[[#All],[ACO/AE or Insurer Overall Organization ID]], ValbyACO_ICC2[[#This Row],[Org ID]])/ValbyACO_ICC2[[#This Row],[2021 Member Months]]), "NA")</f>
        <v>NA</v>
      </c>
      <c r="L64" s="268" t="str">
        <f>IFERROR(IF(ValbyACO_ICC2[[#This Row],[2021 Member Months]]=0,"NA",SUMIFS(ACOAETME2021[[#All],[Claims: Other]], ACOAETME2021[[#All],[Insurance Category Code]], $E$62, ACOAETME2021[[#All],[ACO/AE or Insurer Overall Organization ID]], ValbyACO_ICC2[[#This Row],[Org ID]])/ValbyACO_ICC2[[#This Row],[2021 Member Months]]), "NA")</f>
        <v>NA</v>
      </c>
      <c r="M64" s="118" t="str">
        <f>IF(ValbyACO_ICC2[[#This Row],[2021 Member Months]]=0,"NA",SUMIFS(ACOAETME2021[[#All],[TOTAL Non-Truncated Unadjusted Claims Expenses]], ACOAETME2021[[#All],[Insurance Category Code]], $E$62, ACOAETME2021[[#All],[ACO/AE or Insurer Overall Organization ID]], ValbyACO_ICC2[[#This Row],[Org ID]])/ValbyACO_ICC2[[#This Row],[2021 Member Months]])</f>
        <v>NA</v>
      </c>
      <c r="N64" s="118" t="str">
        <f>IF(ValbyACO_ICC2[[#This Row],[2021 Member Months]]=0,"NA",SUMIFS(ACOAETME2021[[#All],[TOTAL Truncated Unadjusted Claims Expenses (A19 - A17)]], ACOAETME2021[[#All],[Insurance Category Code]], $E$62, ACOAETME2021[[#All],[ACO/AE or Insurer Overall Organization ID]], ValbyACO_ICC2[[#This Row],[Org ID]])/ValbyACO_ICC2[[#This Row],[2021 Member Months]])</f>
        <v>NA</v>
      </c>
      <c r="O64" s="118" t="str">
        <f>IF(ValbyACO_ICC2[[#This Row],[2021 Member Months]]=0,"NA",SUMIFS(ACOAETME2021[[#All],[TOTAL Non-Claims Expenses]], ACOAETME2021[[#All],[Insurance Category Code]], $E$62, ACOAETME2021[[#All],[ACO/AE or Insurer Overall Organization ID]], ValbyACO_ICC2[[#This Row],[Org ID]])/ValbyACO_ICC2[[#This Row],[2021 Member Months]])</f>
        <v>NA</v>
      </c>
      <c r="P64" s="268" t="str">
        <f>IF(ValbyACO_ICC2[[#This Row],[2021 Member Months]]=0, "NA", SUMIFS(ACOAETME2021[[#All],[TOTAL Non-Truncated Unadjusted Expenses 
(A19+A21)]], ACOAETME2021[[#All],[Insurance Category Code]], $E$62, ACOAETME2021[[#All],[ACO/AE or Insurer Overall Organization ID]], ValbyACO_ICC2[[#This Row],[Org ID]])/ValbyACO_ICC2[[#This Row],[2021 Member Months]])</f>
        <v>NA</v>
      </c>
      <c r="Q64" s="119" t="str">
        <f>IF(ValbyACO_ICC2[[#This Row],[2021 Member Months]]=0, "NA", SUMIFS(ACOAETME2021[[#All],[TOTAL Truncated Unadjusted Expenses (A20+A21)]], ACOAETME2021[[#All],[Insurance Category Code]], $E$62, ACOAETME2021[[#All],[ACO/AE or Insurer Overall Organization ID]], ValbyACO_ICC2[[#This Row],[Org ID]])/ValbyACO_ICC2[[#This Row],[2021 Member Months]])</f>
        <v>NA</v>
      </c>
      <c r="R64" s="272">
        <f>SUMIFS(ACOAETME2022[[#All],[Member Months]],ACOAETME2022[[#All],[Insurance Category Code]], $E$62,ACOAETME2022[[#All],[ACO/AE or Insurer Overall Organization ID]],ValbyACO_ICC2[[#This Row],[Org ID]])</f>
        <v>0</v>
      </c>
      <c r="S64" s="118" t="str">
        <f>IF(ValbyACO_ICC2[[#This Row],[2022 Member Months]]=0,"NA",SUMIFS(ACOAETME2022[[#All],[Claims: Hospital Inpatient]],ACOAETME2022[[#All],[Insurance Category Code]], $E$62,ACOAETME2022[[#All],[ACO/AE or Insurer Overall Organization ID]],ValbyACO_ICC2[[#This Row],[Org ID]])/ValbyACO_ICC2[[#This Row],[2022 Member Months]])</f>
        <v>NA</v>
      </c>
      <c r="T64" s="118" t="str">
        <f>IF(ValbyACO_ICC2[[#This Row],[2022 Member Months]]=0,"NA",SUMIFS(ACOAETME2022[[#All],[Claims: Hospital Outpatient]],ACOAETME2022[[#All],[Insurance Category Code]], $E$62,ACOAETME2022[[#All],[ACO/AE or Insurer Overall Organization ID]],ValbyACO_ICC2[[#This Row],[Org ID]])/ValbyACO_ICC2[[#This Row],[2022 Member Months]])</f>
        <v>NA</v>
      </c>
      <c r="U64" s="118" t="str">
        <f>IF(ValbyACO_ICC2[[#This Row],[2022 Member Months]]=0,"NA",SUMIFS(ACOAETME2022[[#All],[Claims: Professional, Primary Care]],ACOAETME2022[[#All],[Insurance Category Code]], $E$62,ACOAETME2022[[#All],[ACO/AE or Insurer Overall Organization ID]],ValbyACO_ICC2[[#This Row],[Org ID]])/ValbyACO_ICC2[[#This Row],[2022 Member Months]])</f>
        <v>NA</v>
      </c>
      <c r="V64" s="118" t="str">
        <f>IF(ValbyACO_ICC2[[#This Row],[2022 Member Months]]=0,"NA",SUMIFS(ACOAETME2022[[#All],[Claims: Professional, Specialty Care]],ACOAETME2022[[#All],[Insurance Category Code]], $E$62,ACOAETME2022[[#All],[ACO/AE or Insurer Overall Organization ID]],ValbyACO_ICC2[[#This Row],[Org ID]])/ValbyACO_ICC2[[#This Row],[2022 Member Months]])</f>
        <v>NA</v>
      </c>
      <c r="W64" s="118" t="str">
        <f>IF(ValbyACO_ICC2[[#This Row],[2022 Member Months]]=0,"NA",SUMIFS(ACOAETME2022[[#All],[Claims: Professional Other]],ACOAETME2022[[#All],[Insurance Category Code]], $E$62,ACOAETME2022[[#All],[ACO/AE or Insurer Overall Organization ID]],ValbyACO_ICC2[[#This Row],[Org ID]])/ValbyACO_ICC2[[#This Row],[2022 Member Months]])</f>
        <v>NA</v>
      </c>
      <c r="X64" s="118" t="str">
        <f>IF(ValbyACO_ICC2[[#This Row],[2022 Member Months]]=0,"NA",SUMIFS(ACOAETME2022[[#All],[Claims: Pharmacy]],ACOAETME2022[[#All],[Insurance Category Code]], $E$62,ACOAETME2022[[#All],[ACO/AE or Insurer Overall Organization ID]],ValbyACO_ICC2[[#This Row],[Org ID]])/ValbyACO_ICC2[[#This Row],[2022 Member Months]])</f>
        <v>NA</v>
      </c>
      <c r="Y64" s="118" t="str">
        <f>IF(ValbyACO_ICC2[[#This Row],[2022 Member Months]]=0,"NA",SUMIFS(ACOAETME2022[[#All],[Claims: Long-Term Care]],ACOAETME2022[[#All],[Insurance Category Code]], $E$62,ACOAETME2022[[#All],[ACO/AE or Insurer Overall Organization ID]],ValbyACO_ICC2[[#This Row],[Org ID]])/ValbyACO_ICC2[[#This Row],[2022 Member Months]])</f>
        <v>NA</v>
      </c>
      <c r="Z64" s="118" t="str">
        <f>IF(ValbyACO_ICC2[[#This Row],[2022 Member Months]]=0,"NA",SUMIFS(ACOAETME2022[[#All],[Claims: Other]],ACOAETME2022[[#All],[Insurance Category Code]], $E$62,ACOAETME2022[[#All],[ACO/AE or Insurer Overall Organization ID]],ValbyACO_ICC2[[#This Row],[Org ID]])/ValbyACO_ICC2[[#This Row],[2022 Member Months]])</f>
        <v>NA</v>
      </c>
      <c r="AA64" s="118" t="str">
        <f>IF(ValbyACO_ICC2[[#This Row],[2022 Member Months]]=0,"NA",SUMIFS(ACOAETME2022[[#All],[TOTAL Non-Truncated Unadjusted Claims Expenses]],ACOAETME2022[[#All],[Insurance Category Code]], $E$62,ACOAETME2022[[#All],[ACO/AE or Insurer Overall Organization ID]],ValbyACO_ICC2[[#This Row],[Org ID]])/ValbyACO_ICC2[[#This Row],[2022 Member Months]])</f>
        <v>NA</v>
      </c>
      <c r="AB64" s="118" t="str">
        <f>IF(ValbyACO_ICC2[[#This Row],[2022 Member Months]]=0,"NA",SUMIFS(ACOAETME2022[[#All],[TOTAL Truncated Unadjusted Expenses (A20+A21)]],ACOAETME2022[[#All],[Insurance Category Code]], $E$62,ACOAETME2022[[#All],[ACO/AE or Insurer Overall Organization ID]],ValbyACO_ICC2[[#This Row],[Org ID]])/ValbyACO_ICC2[[#This Row],[2022 Member Months]])</f>
        <v>NA</v>
      </c>
      <c r="AC64" s="118" t="str">
        <f>IF(ValbyACO_ICC2[[#This Row],[2022 Member Months]]=0,"NA",SUMIFS(ACOAETME2022[[#All],[TOTAL Non-Claims Expenses]],ACOAETME2022[[#All],[Insurance Category Code]], $E$62,ACOAETME2022[[#All],[ACO/AE or Insurer Overall Organization ID]],ValbyACO_ICC2[[#This Row],[Org ID]])/ValbyACO_ICC2[[#This Row],[2022 Member Months]])</f>
        <v>NA</v>
      </c>
      <c r="AD64" s="268" t="str">
        <f>IF(ValbyACO_ICC2[[#This Row],[2022 Member Months]]=0,"NA",SUMIFS(ACOAETME2022[[#All],[TOTAL Non-Truncated Unadjusted Expenses 
(A19+A21)]],ACOAETME2022[[#All],[Insurance Category Code]], $E$62,ACOAETME2022[[#All],[ACO/AE or Insurer Overall Organization ID]],ValbyACO_ICC2[[#This Row],[Org ID]])/ValbyACO_ICC2[[#This Row],[2022 Member Months]])</f>
        <v>NA</v>
      </c>
      <c r="AE64" s="119" t="str">
        <f>IF(ValbyACO_ICC2[[#This Row],[2022 Member Months]]=0,"NA",SUMIFS(ACOAETME2022[[#All],[TOTAL Truncated Unadjusted Expenses (A20+A21)]],ACOAETME2022[[#All],[Insurance Category Code]],$E$62,ACOAETME2022[[#All],[ACO/AE or Insurer Overall Organization ID]],ValbyACO_ICC2[[#This Row],[Org ID]])/ValbyACO_ICC2[[#This Row],[2022 Member Months]])</f>
        <v>NA</v>
      </c>
      <c r="AF64" s="161" t="str">
        <f>IFERROR(IF(ValbyACO_ICC2[[#This Row],[2021 Member Months]]=0,"NA",ValbyACO_ICC2[[#This Row],[2022 Member Months]]/ValbyACO_ICC2[[#This Row],[2021 Member Months]]-1),"NA")</f>
        <v>NA</v>
      </c>
      <c r="AG64" s="161" t="str">
        <f>IFERROR(IF(ValbyACO_ICC2[[#This Row],[2021 Member Months]]=0,"NA",ValbyACO_ICC2[[#This Row],[2022 Claims: Hospital Inpatient]]/ValbyACO_ICC2[[#This Row],[2021 Claims: Hospital Inpatient]]-1),"NA")</f>
        <v>NA</v>
      </c>
      <c r="AH64" s="162" t="str">
        <f>IFERROR(IF(ValbyACO_ICC2[[#This Row],[2021 Member Months]]=0,"NA",ValbyACO_ICC2[[#This Row],[2022 Claims: Hospital Outpatient]]/ValbyACO_ICC2[[#This Row],[2021 Claims: Hospital Outpatient]]-1),"NA")</f>
        <v>NA</v>
      </c>
      <c r="AI64" s="162" t="str">
        <f>IFERROR(IF(ValbyACO_ICC2[[#This Row],[2021 Member Months]]=0,"NA",ValbyACO_ICC2[[#This Row],[2022 Claims: Professional, Primary Care]]/ValbyACO_ICC2[[#This Row],[2021 Claims: Professional, Primary Care]]-1),"NA")</f>
        <v>NA</v>
      </c>
      <c r="AJ64" s="162" t="str">
        <f>IFERROR(IF(ValbyACO_ICC2[[#This Row],[2021 Member Months]]=0,"NA",ValbyACO_ICC2[[#This Row],[2022 Claims: Professional, Specialty Care]]/ValbyACO_ICC2[[#This Row],[2021 Claims: Professional, Specialty Care]]-1),"NA")</f>
        <v>NA</v>
      </c>
      <c r="AK64" s="162" t="str">
        <f>IFERROR(IF(ValbyACO_ICC2[[#This Row],[2021 Member Months]]=0,"NA", ValbyACO_ICC2[[#This Row],[2022 Claims: Professional Other]]/ValbyACO_ICC2[[#This Row],[2021 Claims: Professional Other]]-1),"NA")</f>
        <v>NA</v>
      </c>
      <c r="AL64" s="162" t="str">
        <f>IFERROR(IF(ValbyACO_ICC2[[#This Row],[2021 Member Months]]=0,"NA",ValbyACO_ICC2[[#This Row],[2022 Claims: Pharmacy (Gross of Retail Pharmacy Rebates)]]/ValbyACO_ICC2[[#This Row],[2021 Claims: Pharmacy (Gross of  Rebates)]]-1),"NA")</f>
        <v>NA</v>
      </c>
      <c r="AM64" s="162" t="str">
        <f>IFERROR(IF(ValbyACO_ICC2[[#This Row],[2021 Member Months]]=0,"NA",ValbyACO_ICC2[[#This Row],[2022 Claims: Long-term Care]]/ValbyACO_ICC2[[#This Row],[2021 Claims: Long-term Care]]-1),"NA")</f>
        <v>NA</v>
      </c>
      <c r="AN64" s="162" t="str">
        <f>IFERROR(IF(ValbyACO_ICC2[[#This Row],[2021 Member Months]]=0,"NA",ValbyACO_ICC2[[#This Row],[2022 Claims: Other]]/ValbyACO_ICC2[[#This Row],[2021 Claims: Other]]-1),"NA")</f>
        <v>NA</v>
      </c>
      <c r="AO64" s="163" t="str">
        <f>IFERROR(IF(ValbyACO_ICC2[[#This Row],[2021 Member Months]]=0,"NA",ValbyACO_ICC2[[#This Row],[2022 TOTAL Non-Truncated Claims Expenses]]/ValbyACO_ICC2[[#This Row],[2021 TOTAL Non-Truncated Claims Expenses]]-1),"NA")</f>
        <v>NA</v>
      </c>
      <c r="AP64" s="163" t="str">
        <f>IFERROR(IF(ValbyACO_ICC2[[#This Row],[2021 Member Months]]=0,"NA",ValbyACO_ICC2[[#This Row],[2022 TOTAL Truncated Claims Expenses]]/ValbyACO_ICC2[[#This Row],[2021 TOTAL Truncated Claims Expenses]]-1),"NA")</f>
        <v>NA</v>
      </c>
      <c r="AQ64" s="163" t="str">
        <f>IFERROR(IF(ValbyACO_ICC2[[#This Row],[2021 Member Months]]=0,"NA",ValbyACO_ICC2[[#This Row],[2022 TOTAL Non-Claims Expenses]]/ValbyACO_ICC2[[#This Row],[2021 TOTAL Non-Claims Expenses]]-1),"NA")</f>
        <v>NA</v>
      </c>
      <c r="AR64" s="163" t="str">
        <f>IFERROR(IF(ValbyACO_ICC2[[#This Row],[2021 Member Months]]=0,"NA",ValbyACO_ICC2[[#This Row],[2022 TOTAL Non-Truncated Total Expenses]]/ValbyACO_ICC2[[#This Row],[2021 TOTAL Non-Truncated Total Expenses]]-1),"NA")</f>
        <v>NA</v>
      </c>
      <c r="AS64" s="163" t="str">
        <f>IFERROR(IF(ValbyACO_ICC2[[#This Row],[2021 Member Months]]=0,"NA",ValbyACO_ICC2[[#This Row],[2022 TOTAL Truncated Total Expenses]]/ValbyACO_ICC2[[#This Row],[2021 TOTAL Truncated Total Expenses]]-1),"NA")</f>
        <v>NA</v>
      </c>
    </row>
    <row r="65" spans="1:45" x14ac:dyDescent="0.35">
      <c r="A65" s="129"/>
      <c r="B65" s="250">
        <v>102</v>
      </c>
      <c r="C65" s="291" t="s">
        <v>190</v>
      </c>
      <c r="D65" s="272">
        <f>SUMIFS(ACOAETME2021[[#All],[Member Months]], ACOAETME2021[[#All],[Insurance Category Code]], $E$62, ACOAETME2021[[#All],[ACO/AE or Insurer Overall Organization ID]], ValbyACO_ICC2[[#This Row],[Org ID]])</f>
        <v>0</v>
      </c>
      <c r="E65" s="268" t="str">
        <f>IFERROR(IF(ValbyACO_ICC2[[#This Row],[2021 Member Months]]=0,"NA",SUMIFS(ACOAETME2021[[#All],[Claims: Hospital Inpatient]], ACOAETME2021[[#All],[Insurance Category Code]], $E$62, ACOAETME2021[[#All],[ACO/AE or Insurer Overall Organization ID]], ValbyACO_ICC2[[#This Row],[Org ID]])/ValbyACO_ICC2[[#This Row],[2021 Member Months]]), "NA")</f>
        <v>NA</v>
      </c>
      <c r="F65" s="268" t="str">
        <f>IFERROR(IF(ValbyACO_ICC2[[#This Row],[2021 Member Months]]=0,"NA",SUMIFS(ACOAETME2021[[#All],[Claims: Hospital Outpatient]], ACOAETME2021[[#All],[Insurance Category Code]], $E$62, ACOAETME2021[[#All],[ACO/AE or Insurer Overall Organization ID]], ValbyACO_ICC2[[#This Row],[Org ID]])/ValbyACO_ICC2[[#This Row],[2021 Member Months]]), "NA")</f>
        <v>NA</v>
      </c>
      <c r="G65" s="268" t="str">
        <f>IFERROR(IF(ValbyACO_ICC2[[#This Row],[2021 Member Months]]=0,"NA",SUMIFS(ACOAETME2021[[#All],[Claims: Professional, Primary Care]], ACOAETME2021[[#All],[Insurance Category Code]], $E$62, ACOAETME2021[[#All],[ACO/AE or Insurer Overall Organization ID]], ValbyACO_ICC2[[#This Row],[Org ID]])/ValbyACO_ICC2[[#This Row],[2021 Member Months]]), "NA")</f>
        <v>NA</v>
      </c>
      <c r="H65" s="268" t="str">
        <f>IFERROR(IF(ValbyACO_ICC2[[#This Row],[2021 Member Months]]=0,"NA",SUMIFS(ACOAETME2021[[#All],[Claims: Professional, Specialty Care]], ACOAETME2021[[#All],[Insurance Category Code]], $E$62, ACOAETME2021[[#All],[ACO/AE or Insurer Overall Organization ID]], ValbyACO_ICC2[[#This Row],[Org ID]])/ValbyACO_ICC2[[#This Row],[2021 Member Months]]), "NA")</f>
        <v>NA</v>
      </c>
      <c r="I65" s="268" t="str">
        <f>IFERROR(IF(ValbyACO_ICC2[[#This Row],[2021 Member Months]]=0,"NA",SUMIFS(ACOAETME2021[[#All],[Claims: Professional Other]], ACOAETME2021[[#All],[Insurance Category Code]], $E$62, ACOAETME2021[[#All],[ACO/AE or Insurer Overall Organization ID]], ValbyACO_ICC2[[#This Row],[Org ID]])/ValbyACO_ICC2[[#This Row],[2021 Member Months]]), "NA")</f>
        <v>NA</v>
      </c>
      <c r="J65" s="268" t="str">
        <f>IFERROR(IF(ValbyACO_ICC2[[#This Row],[2021 Member Months]]=0,"NA",SUMIFS(ACOAETME2021[[#All],[Claims: Pharmacy]], ACOAETME2021[[#All],[Insurance Category Code]], $E$62, ACOAETME2021[[#All],[ACO/AE or Insurer Overall Organization ID]], ValbyACO_ICC2[[#This Row],[Org ID]])/ValbyACO_ICC2[[#This Row],[2021 Member Months]]), "NA")</f>
        <v>NA</v>
      </c>
      <c r="K65" s="268" t="str">
        <f>IFERROR(IF(ValbyACO_ICC2[[#This Row],[2021 Member Months]]=0,"NA",SUMIFS(ACOAETME2021[[#All],[Claims: Long-Term Care]], ACOAETME2021[[#All],[Insurance Category Code]], $E$62, ACOAETME2021[[#All],[ACO/AE or Insurer Overall Organization ID]], ValbyACO_ICC2[[#This Row],[Org ID]])/ValbyACO_ICC2[[#This Row],[2021 Member Months]]), "NA")</f>
        <v>NA</v>
      </c>
      <c r="L65" s="268" t="str">
        <f>IFERROR(IF(ValbyACO_ICC2[[#This Row],[2021 Member Months]]=0,"NA",SUMIFS(ACOAETME2021[[#All],[Claims: Other]], ACOAETME2021[[#All],[Insurance Category Code]], $E$62, ACOAETME2021[[#All],[ACO/AE or Insurer Overall Organization ID]], ValbyACO_ICC2[[#This Row],[Org ID]])/ValbyACO_ICC2[[#This Row],[2021 Member Months]]), "NA")</f>
        <v>NA</v>
      </c>
      <c r="M65" s="118" t="str">
        <f>IF(ValbyACO_ICC2[[#This Row],[2021 Member Months]]=0,"NA",SUMIFS(ACOAETME2021[[#All],[TOTAL Non-Truncated Unadjusted Claims Expenses]], ACOAETME2021[[#All],[Insurance Category Code]], $E$62, ACOAETME2021[[#All],[ACO/AE or Insurer Overall Organization ID]], ValbyACO_ICC2[[#This Row],[Org ID]])/ValbyACO_ICC2[[#This Row],[2021 Member Months]])</f>
        <v>NA</v>
      </c>
      <c r="N65" s="118" t="str">
        <f>IF(ValbyACO_ICC2[[#This Row],[2021 Member Months]]=0,"NA",SUMIFS(ACOAETME2021[[#All],[TOTAL Truncated Unadjusted Claims Expenses (A19 - A17)]], ACOAETME2021[[#All],[Insurance Category Code]], $E$62, ACOAETME2021[[#All],[ACO/AE or Insurer Overall Organization ID]], ValbyACO_ICC2[[#This Row],[Org ID]])/ValbyACO_ICC2[[#This Row],[2021 Member Months]])</f>
        <v>NA</v>
      </c>
      <c r="O65" s="118" t="str">
        <f>IF(ValbyACO_ICC2[[#This Row],[2021 Member Months]]=0,"NA",SUMIFS(ACOAETME2021[[#All],[TOTAL Non-Claims Expenses]], ACOAETME2021[[#All],[Insurance Category Code]], $E$62, ACOAETME2021[[#All],[ACO/AE or Insurer Overall Organization ID]], ValbyACO_ICC2[[#This Row],[Org ID]])/ValbyACO_ICC2[[#This Row],[2021 Member Months]])</f>
        <v>NA</v>
      </c>
      <c r="P65" s="268" t="str">
        <f>IF(ValbyACO_ICC2[[#This Row],[2021 Member Months]]=0, "NA", SUMIFS(ACOAETME2021[[#All],[TOTAL Non-Truncated Unadjusted Expenses 
(A19+A21)]], ACOAETME2021[[#All],[Insurance Category Code]], $E$62, ACOAETME2021[[#All],[ACO/AE or Insurer Overall Organization ID]], ValbyACO_ICC2[[#This Row],[Org ID]])/ValbyACO_ICC2[[#This Row],[2021 Member Months]])</f>
        <v>NA</v>
      </c>
      <c r="Q65" s="119" t="str">
        <f>IF(ValbyACO_ICC2[[#This Row],[2021 Member Months]]=0, "NA", SUMIFS(ACOAETME2021[[#All],[TOTAL Truncated Unadjusted Expenses (A20+A21)]], ACOAETME2021[[#All],[Insurance Category Code]], $E$62, ACOAETME2021[[#All],[ACO/AE or Insurer Overall Organization ID]], ValbyACO_ICC2[[#This Row],[Org ID]])/ValbyACO_ICC2[[#This Row],[2021 Member Months]])</f>
        <v>NA</v>
      </c>
      <c r="R65" s="272">
        <f>SUMIFS(ACOAETME2022[[#All],[Member Months]],ACOAETME2022[[#All],[Insurance Category Code]], $E$62,ACOAETME2022[[#All],[ACO/AE or Insurer Overall Organization ID]],ValbyACO_ICC2[[#This Row],[Org ID]])</f>
        <v>0</v>
      </c>
      <c r="S65" s="118" t="str">
        <f>IF(ValbyACO_ICC2[[#This Row],[2022 Member Months]]=0,"NA",SUMIFS(ACOAETME2022[[#All],[Claims: Hospital Inpatient]],ACOAETME2022[[#All],[Insurance Category Code]], $E$62,ACOAETME2022[[#All],[ACO/AE or Insurer Overall Organization ID]],ValbyACO_ICC2[[#This Row],[Org ID]])/ValbyACO_ICC2[[#This Row],[2022 Member Months]])</f>
        <v>NA</v>
      </c>
      <c r="T65" s="118" t="str">
        <f>IF(ValbyACO_ICC2[[#This Row],[2022 Member Months]]=0,"NA",SUMIFS(ACOAETME2022[[#All],[Claims: Hospital Outpatient]],ACOAETME2022[[#All],[Insurance Category Code]], $E$62,ACOAETME2022[[#All],[ACO/AE or Insurer Overall Organization ID]],ValbyACO_ICC2[[#This Row],[Org ID]])/ValbyACO_ICC2[[#This Row],[2022 Member Months]])</f>
        <v>NA</v>
      </c>
      <c r="U65" s="118" t="str">
        <f>IF(ValbyACO_ICC2[[#This Row],[2022 Member Months]]=0,"NA",SUMIFS(ACOAETME2022[[#All],[Claims: Professional, Primary Care]],ACOAETME2022[[#All],[Insurance Category Code]], $E$62,ACOAETME2022[[#All],[ACO/AE or Insurer Overall Organization ID]],ValbyACO_ICC2[[#This Row],[Org ID]])/ValbyACO_ICC2[[#This Row],[2022 Member Months]])</f>
        <v>NA</v>
      </c>
      <c r="V65" s="118" t="str">
        <f>IF(ValbyACO_ICC2[[#This Row],[2022 Member Months]]=0,"NA",SUMIFS(ACOAETME2022[[#All],[Claims: Professional, Specialty Care]],ACOAETME2022[[#All],[Insurance Category Code]], $E$62,ACOAETME2022[[#All],[ACO/AE or Insurer Overall Organization ID]],ValbyACO_ICC2[[#This Row],[Org ID]])/ValbyACO_ICC2[[#This Row],[2022 Member Months]])</f>
        <v>NA</v>
      </c>
      <c r="W65" s="118" t="str">
        <f>IF(ValbyACO_ICC2[[#This Row],[2022 Member Months]]=0,"NA",SUMIFS(ACOAETME2022[[#All],[Claims: Professional Other]],ACOAETME2022[[#All],[Insurance Category Code]], $E$62,ACOAETME2022[[#All],[ACO/AE or Insurer Overall Organization ID]],ValbyACO_ICC2[[#This Row],[Org ID]])/ValbyACO_ICC2[[#This Row],[2022 Member Months]])</f>
        <v>NA</v>
      </c>
      <c r="X65" s="118" t="str">
        <f>IF(ValbyACO_ICC2[[#This Row],[2022 Member Months]]=0,"NA",SUMIFS(ACOAETME2022[[#All],[Claims: Pharmacy]],ACOAETME2022[[#All],[Insurance Category Code]], $E$62,ACOAETME2022[[#All],[ACO/AE or Insurer Overall Organization ID]],ValbyACO_ICC2[[#This Row],[Org ID]])/ValbyACO_ICC2[[#This Row],[2022 Member Months]])</f>
        <v>NA</v>
      </c>
      <c r="Y65" s="118" t="str">
        <f>IF(ValbyACO_ICC2[[#This Row],[2022 Member Months]]=0,"NA",SUMIFS(ACOAETME2022[[#All],[Claims: Long-Term Care]],ACOAETME2022[[#All],[Insurance Category Code]], $E$62,ACOAETME2022[[#All],[ACO/AE or Insurer Overall Organization ID]],ValbyACO_ICC2[[#This Row],[Org ID]])/ValbyACO_ICC2[[#This Row],[2022 Member Months]])</f>
        <v>NA</v>
      </c>
      <c r="Z65" s="118" t="str">
        <f>IF(ValbyACO_ICC2[[#This Row],[2022 Member Months]]=0,"NA",SUMIFS(ACOAETME2022[[#All],[Claims: Other]],ACOAETME2022[[#All],[Insurance Category Code]], $E$62,ACOAETME2022[[#All],[ACO/AE or Insurer Overall Organization ID]],ValbyACO_ICC2[[#This Row],[Org ID]])/ValbyACO_ICC2[[#This Row],[2022 Member Months]])</f>
        <v>NA</v>
      </c>
      <c r="AA65" s="118" t="str">
        <f>IF(ValbyACO_ICC2[[#This Row],[2022 Member Months]]=0,"NA",SUMIFS(ACOAETME2022[[#All],[TOTAL Non-Truncated Unadjusted Claims Expenses]],ACOAETME2022[[#All],[Insurance Category Code]], $E$62,ACOAETME2022[[#All],[ACO/AE or Insurer Overall Organization ID]],ValbyACO_ICC2[[#This Row],[Org ID]])/ValbyACO_ICC2[[#This Row],[2022 Member Months]])</f>
        <v>NA</v>
      </c>
      <c r="AB65" s="118" t="str">
        <f>IF(ValbyACO_ICC2[[#This Row],[2022 Member Months]]=0,"NA",SUMIFS(ACOAETME2022[[#All],[TOTAL Truncated Unadjusted Expenses (A20+A21)]],ACOAETME2022[[#All],[Insurance Category Code]], $E$62,ACOAETME2022[[#All],[ACO/AE or Insurer Overall Organization ID]],ValbyACO_ICC2[[#This Row],[Org ID]])/ValbyACO_ICC2[[#This Row],[2022 Member Months]])</f>
        <v>NA</v>
      </c>
      <c r="AC65" s="118" t="str">
        <f>IF(ValbyACO_ICC2[[#This Row],[2022 Member Months]]=0,"NA",SUMIFS(ACOAETME2022[[#All],[TOTAL Non-Claims Expenses]],ACOAETME2022[[#All],[Insurance Category Code]], $E$62,ACOAETME2022[[#All],[ACO/AE or Insurer Overall Organization ID]],ValbyACO_ICC2[[#This Row],[Org ID]])/ValbyACO_ICC2[[#This Row],[2022 Member Months]])</f>
        <v>NA</v>
      </c>
      <c r="AD65" s="268" t="str">
        <f>IF(ValbyACO_ICC2[[#This Row],[2022 Member Months]]=0,"NA",SUMIFS(ACOAETME2022[[#All],[TOTAL Non-Truncated Unadjusted Expenses 
(A19+A21)]],ACOAETME2022[[#All],[Insurance Category Code]], $E$62,ACOAETME2022[[#All],[ACO/AE or Insurer Overall Organization ID]],ValbyACO_ICC2[[#This Row],[Org ID]])/ValbyACO_ICC2[[#This Row],[2022 Member Months]])</f>
        <v>NA</v>
      </c>
      <c r="AE65" s="119" t="str">
        <f>IF(ValbyACO_ICC2[[#This Row],[2022 Member Months]]=0,"NA",SUMIFS(ACOAETME2022[[#All],[TOTAL Truncated Unadjusted Expenses (A20+A21)]],ACOAETME2022[[#All],[Insurance Category Code]],$E$62,ACOAETME2022[[#All],[ACO/AE or Insurer Overall Organization ID]],ValbyACO_ICC2[[#This Row],[Org ID]])/ValbyACO_ICC2[[#This Row],[2022 Member Months]])</f>
        <v>NA</v>
      </c>
      <c r="AF65" s="161" t="str">
        <f>IFERROR(IF(ValbyACO_ICC2[[#This Row],[2021 Member Months]]=0,"NA",ValbyACO_ICC2[[#This Row],[2022 Member Months]]/ValbyACO_ICC2[[#This Row],[2021 Member Months]]-1),"NA")</f>
        <v>NA</v>
      </c>
      <c r="AG65" s="161" t="str">
        <f>IFERROR(IF(ValbyACO_ICC2[[#This Row],[2021 Member Months]]=0,"NA",ValbyACO_ICC2[[#This Row],[2022 Claims: Hospital Inpatient]]/ValbyACO_ICC2[[#This Row],[2021 Claims: Hospital Inpatient]]-1),"NA")</f>
        <v>NA</v>
      </c>
      <c r="AH65" s="162" t="str">
        <f>IFERROR(IF(ValbyACO_ICC2[[#This Row],[2021 Member Months]]=0,"NA",ValbyACO_ICC2[[#This Row],[2022 Claims: Hospital Outpatient]]/ValbyACO_ICC2[[#This Row],[2021 Claims: Hospital Outpatient]]-1),"NA")</f>
        <v>NA</v>
      </c>
      <c r="AI65" s="162" t="str">
        <f>IFERROR(IF(ValbyACO_ICC2[[#This Row],[2021 Member Months]]=0,"NA",ValbyACO_ICC2[[#This Row],[2022 Claims: Professional, Primary Care]]/ValbyACO_ICC2[[#This Row],[2021 Claims: Professional, Primary Care]]-1),"NA")</f>
        <v>NA</v>
      </c>
      <c r="AJ65" s="162" t="str">
        <f>IFERROR(IF(ValbyACO_ICC2[[#This Row],[2021 Member Months]]=0,"NA",ValbyACO_ICC2[[#This Row],[2022 Claims: Professional, Specialty Care]]/ValbyACO_ICC2[[#This Row],[2021 Claims: Professional, Specialty Care]]-1),"NA")</f>
        <v>NA</v>
      </c>
      <c r="AK65" s="162" t="str">
        <f>IFERROR(IF(ValbyACO_ICC2[[#This Row],[2021 Member Months]]=0,"NA", ValbyACO_ICC2[[#This Row],[2022 Claims: Professional Other]]/ValbyACO_ICC2[[#This Row],[2021 Claims: Professional Other]]-1),"NA")</f>
        <v>NA</v>
      </c>
      <c r="AL65" s="162" t="str">
        <f>IFERROR(IF(ValbyACO_ICC2[[#This Row],[2021 Member Months]]=0,"NA",ValbyACO_ICC2[[#This Row],[2022 Claims: Pharmacy (Gross of Retail Pharmacy Rebates)]]/ValbyACO_ICC2[[#This Row],[2021 Claims: Pharmacy (Gross of  Rebates)]]-1),"NA")</f>
        <v>NA</v>
      </c>
      <c r="AM65" s="162" t="str">
        <f>IFERROR(IF(ValbyACO_ICC2[[#This Row],[2021 Member Months]]=0,"NA",ValbyACO_ICC2[[#This Row],[2022 Claims: Long-term Care]]/ValbyACO_ICC2[[#This Row],[2021 Claims: Long-term Care]]-1),"NA")</f>
        <v>NA</v>
      </c>
      <c r="AN65" s="162" t="str">
        <f>IFERROR(IF(ValbyACO_ICC2[[#This Row],[2021 Member Months]]=0,"NA",ValbyACO_ICC2[[#This Row],[2022 Claims: Other]]/ValbyACO_ICC2[[#This Row],[2021 Claims: Other]]-1),"NA")</f>
        <v>NA</v>
      </c>
      <c r="AO65" s="163" t="str">
        <f>IFERROR(IF(ValbyACO_ICC2[[#This Row],[2021 Member Months]]=0,"NA",ValbyACO_ICC2[[#This Row],[2022 TOTAL Non-Truncated Claims Expenses]]/ValbyACO_ICC2[[#This Row],[2021 TOTAL Non-Truncated Claims Expenses]]-1),"NA")</f>
        <v>NA</v>
      </c>
      <c r="AP65" s="163" t="str">
        <f>IFERROR(IF(ValbyACO_ICC2[[#This Row],[2021 Member Months]]=0,"NA",ValbyACO_ICC2[[#This Row],[2022 TOTAL Truncated Claims Expenses]]/ValbyACO_ICC2[[#This Row],[2021 TOTAL Truncated Claims Expenses]]-1),"NA")</f>
        <v>NA</v>
      </c>
      <c r="AQ65" s="163" t="str">
        <f>IFERROR(IF(ValbyACO_ICC2[[#This Row],[2021 Member Months]]=0,"NA",ValbyACO_ICC2[[#This Row],[2022 TOTAL Non-Claims Expenses]]/ValbyACO_ICC2[[#This Row],[2021 TOTAL Non-Claims Expenses]]-1),"NA")</f>
        <v>NA</v>
      </c>
      <c r="AR65" s="163" t="str">
        <f>IFERROR(IF(ValbyACO_ICC2[[#This Row],[2021 Member Months]]=0,"NA",ValbyACO_ICC2[[#This Row],[2022 TOTAL Non-Truncated Total Expenses]]/ValbyACO_ICC2[[#This Row],[2021 TOTAL Non-Truncated Total Expenses]]-1),"NA")</f>
        <v>NA</v>
      </c>
      <c r="AS65" s="163" t="str">
        <f>IFERROR(IF(ValbyACO_ICC2[[#This Row],[2021 Member Months]]=0,"NA",ValbyACO_ICC2[[#This Row],[2022 TOTAL Truncated Total Expenses]]/ValbyACO_ICC2[[#This Row],[2021 TOTAL Truncated Total Expenses]]-1),"NA")</f>
        <v>NA</v>
      </c>
    </row>
    <row r="66" spans="1:45" x14ac:dyDescent="0.35">
      <c r="A66" s="129"/>
      <c r="B66" s="250">
        <v>103</v>
      </c>
      <c r="C66" s="291" t="s">
        <v>168</v>
      </c>
      <c r="D66" s="272">
        <f>SUMIFS(ACOAETME2021[[#All],[Member Months]], ACOAETME2021[[#All],[Insurance Category Code]], $E$62, ACOAETME2021[[#All],[ACO/AE or Insurer Overall Organization ID]], ValbyACO_ICC2[[#This Row],[Org ID]])</f>
        <v>0</v>
      </c>
      <c r="E66" s="268" t="str">
        <f>IFERROR(IF(ValbyACO_ICC2[[#This Row],[2021 Member Months]]=0,"NA",SUMIFS(ACOAETME2021[[#All],[Claims: Hospital Inpatient]], ACOAETME2021[[#All],[Insurance Category Code]], $E$62, ACOAETME2021[[#All],[ACO/AE or Insurer Overall Organization ID]], ValbyACO_ICC2[[#This Row],[Org ID]])/ValbyACO_ICC2[[#This Row],[2021 Member Months]]), "NA")</f>
        <v>NA</v>
      </c>
      <c r="F66" s="268" t="str">
        <f>IFERROR(IF(ValbyACO_ICC2[[#This Row],[2021 Member Months]]=0,"NA",SUMIFS(ACOAETME2021[[#All],[Claims: Hospital Outpatient]], ACOAETME2021[[#All],[Insurance Category Code]], $E$62, ACOAETME2021[[#All],[ACO/AE or Insurer Overall Organization ID]], ValbyACO_ICC2[[#This Row],[Org ID]])/ValbyACO_ICC2[[#This Row],[2021 Member Months]]), "NA")</f>
        <v>NA</v>
      </c>
      <c r="G66" s="268" t="str">
        <f>IFERROR(IF(ValbyACO_ICC2[[#This Row],[2021 Member Months]]=0,"NA",SUMIFS(ACOAETME2021[[#All],[Claims: Professional, Primary Care]], ACOAETME2021[[#All],[Insurance Category Code]], $E$62, ACOAETME2021[[#All],[ACO/AE or Insurer Overall Organization ID]], ValbyACO_ICC2[[#This Row],[Org ID]])/ValbyACO_ICC2[[#This Row],[2021 Member Months]]), "NA")</f>
        <v>NA</v>
      </c>
      <c r="H66" s="268" t="str">
        <f>IFERROR(IF(ValbyACO_ICC2[[#This Row],[2021 Member Months]]=0,"NA",SUMIFS(ACOAETME2021[[#All],[Claims: Professional, Specialty Care]], ACOAETME2021[[#All],[Insurance Category Code]], $E$62, ACOAETME2021[[#All],[ACO/AE or Insurer Overall Organization ID]], ValbyACO_ICC2[[#This Row],[Org ID]])/ValbyACO_ICC2[[#This Row],[2021 Member Months]]), "NA")</f>
        <v>NA</v>
      </c>
      <c r="I66" s="268" t="str">
        <f>IFERROR(IF(ValbyACO_ICC2[[#This Row],[2021 Member Months]]=0,"NA",SUMIFS(ACOAETME2021[[#All],[Claims: Professional Other]], ACOAETME2021[[#All],[Insurance Category Code]], $E$62, ACOAETME2021[[#All],[ACO/AE or Insurer Overall Organization ID]], ValbyACO_ICC2[[#This Row],[Org ID]])/ValbyACO_ICC2[[#This Row],[2021 Member Months]]), "NA")</f>
        <v>NA</v>
      </c>
      <c r="J66" s="268" t="str">
        <f>IFERROR(IF(ValbyACO_ICC2[[#This Row],[2021 Member Months]]=0,"NA",SUMIFS(ACOAETME2021[[#All],[Claims: Pharmacy]], ACOAETME2021[[#All],[Insurance Category Code]], $E$62, ACOAETME2021[[#All],[ACO/AE or Insurer Overall Organization ID]], ValbyACO_ICC2[[#This Row],[Org ID]])/ValbyACO_ICC2[[#This Row],[2021 Member Months]]), "NA")</f>
        <v>NA</v>
      </c>
      <c r="K66" s="268" t="str">
        <f>IFERROR(IF(ValbyACO_ICC2[[#This Row],[2021 Member Months]]=0,"NA",SUMIFS(ACOAETME2021[[#All],[Claims: Long-Term Care]], ACOAETME2021[[#All],[Insurance Category Code]], $E$62, ACOAETME2021[[#All],[ACO/AE or Insurer Overall Organization ID]], ValbyACO_ICC2[[#This Row],[Org ID]])/ValbyACO_ICC2[[#This Row],[2021 Member Months]]), "NA")</f>
        <v>NA</v>
      </c>
      <c r="L66" s="268" t="str">
        <f>IFERROR(IF(ValbyACO_ICC2[[#This Row],[2021 Member Months]]=0,"NA",SUMIFS(ACOAETME2021[[#All],[Claims: Other]], ACOAETME2021[[#All],[Insurance Category Code]], $E$62, ACOAETME2021[[#All],[ACO/AE or Insurer Overall Organization ID]], ValbyACO_ICC2[[#This Row],[Org ID]])/ValbyACO_ICC2[[#This Row],[2021 Member Months]]), "NA")</f>
        <v>NA</v>
      </c>
      <c r="M66" s="118" t="str">
        <f>IF(ValbyACO_ICC2[[#This Row],[2021 Member Months]]=0,"NA",SUMIFS(ACOAETME2021[[#All],[TOTAL Non-Truncated Unadjusted Claims Expenses]], ACOAETME2021[[#All],[Insurance Category Code]], $E$62, ACOAETME2021[[#All],[ACO/AE or Insurer Overall Organization ID]], ValbyACO_ICC2[[#This Row],[Org ID]])/ValbyACO_ICC2[[#This Row],[2021 Member Months]])</f>
        <v>NA</v>
      </c>
      <c r="N66" s="118" t="str">
        <f>IF(ValbyACO_ICC2[[#This Row],[2021 Member Months]]=0,"NA",SUMIFS(ACOAETME2021[[#All],[TOTAL Truncated Unadjusted Claims Expenses (A19 - A17)]], ACOAETME2021[[#All],[Insurance Category Code]], $E$62, ACOAETME2021[[#All],[ACO/AE or Insurer Overall Organization ID]], ValbyACO_ICC2[[#This Row],[Org ID]])/ValbyACO_ICC2[[#This Row],[2021 Member Months]])</f>
        <v>NA</v>
      </c>
      <c r="O66" s="118" t="str">
        <f>IF(ValbyACO_ICC2[[#This Row],[2021 Member Months]]=0,"NA",SUMIFS(ACOAETME2021[[#All],[TOTAL Non-Claims Expenses]], ACOAETME2021[[#All],[Insurance Category Code]], $E$62, ACOAETME2021[[#All],[ACO/AE or Insurer Overall Organization ID]], ValbyACO_ICC2[[#This Row],[Org ID]])/ValbyACO_ICC2[[#This Row],[2021 Member Months]])</f>
        <v>NA</v>
      </c>
      <c r="P66" s="268" t="str">
        <f>IF(ValbyACO_ICC2[[#This Row],[2021 Member Months]]=0, "NA", SUMIFS(ACOAETME2021[[#All],[TOTAL Non-Truncated Unadjusted Expenses 
(A19+A21)]], ACOAETME2021[[#All],[Insurance Category Code]], $E$62, ACOAETME2021[[#All],[ACO/AE or Insurer Overall Organization ID]], ValbyACO_ICC2[[#This Row],[Org ID]])/ValbyACO_ICC2[[#This Row],[2021 Member Months]])</f>
        <v>NA</v>
      </c>
      <c r="Q66" s="119" t="str">
        <f>IF(ValbyACO_ICC2[[#This Row],[2021 Member Months]]=0, "NA", SUMIFS(ACOAETME2021[[#All],[TOTAL Truncated Unadjusted Expenses (A20+A21)]], ACOAETME2021[[#All],[Insurance Category Code]], $E$62, ACOAETME2021[[#All],[ACO/AE or Insurer Overall Organization ID]], ValbyACO_ICC2[[#This Row],[Org ID]])/ValbyACO_ICC2[[#This Row],[2021 Member Months]])</f>
        <v>NA</v>
      </c>
      <c r="R66" s="272">
        <f>SUMIFS(ACOAETME2022[[#All],[Member Months]],ACOAETME2022[[#All],[Insurance Category Code]], $E$62,ACOAETME2022[[#All],[ACO/AE or Insurer Overall Organization ID]],ValbyACO_ICC2[[#This Row],[Org ID]])</f>
        <v>0</v>
      </c>
      <c r="S66" s="118" t="str">
        <f>IF(ValbyACO_ICC2[[#This Row],[2022 Member Months]]=0,"NA",SUMIFS(ACOAETME2022[[#All],[Claims: Hospital Inpatient]],ACOAETME2022[[#All],[Insurance Category Code]], $E$62,ACOAETME2022[[#All],[ACO/AE or Insurer Overall Organization ID]],ValbyACO_ICC2[[#This Row],[Org ID]])/ValbyACO_ICC2[[#This Row],[2022 Member Months]])</f>
        <v>NA</v>
      </c>
      <c r="T66" s="118" t="str">
        <f>IF(ValbyACO_ICC2[[#This Row],[2022 Member Months]]=0,"NA",SUMIFS(ACOAETME2022[[#All],[Claims: Hospital Outpatient]],ACOAETME2022[[#All],[Insurance Category Code]], $E$62,ACOAETME2022[[#All],[ACO/AE or Insurer Overall Organization ID]],ValbyACO_ICC2[[#This Row],[Org ID]])/ValbyACO_ICC2[[#This Row],[2022 Member Months]])</f>
        <v>NA</v>
      </c>
      <c r="U66" s="118" t="str">
        <f>IF(ValbyACO_ICC2[[#This Row],[2022 Member Months]]=0,"NA",SUMIFS(ACOAETME2022[[#All],[Claims: Professional, Primary Care]],ACOAETME2022[[#All],[Insurance Category Code]], $E$62,ACOAETME2022[[#All],[ACO/AE or Insurer Overall Organization ID]],ValbyACO_ICC2[[#This Row],[Org ID]])/ValbyACO_ICC2[[#This Row],[2022 Member Months]])</f>
        <v>NA</v>
      </c>
      <c r="V66" s="118" t="str">
        <f>IF(ValbyACO_ICC2[[#This Row],[2022 Member Months]]=0,"NA",SUMIFS(ACOAETME2022[[#All],[Claims: Professional, Specialty Care]],ACOAETME2022[[#All],[Insurance Category Code]], $E$62,ACOAETME2022[[#All],[ACO/AE or Insurer Overall Organization ID]],ValbyACO_ICC2[[#This Row],[Org ID]])/ValbyACO_ICC2[[#This Row],[2022 Member Months]])</f>
        <v>NA</v>
      </c>
      <c r="W66" s="118" t="str">
        <f>IF(ValbyACO_ICC2[[#This Row],[2022 Member Months]]=0,"NA",SUMIFS(ACOAETME2022[[#All],[Claims: Professional Other]],ACOAETME2022[[#All],[Insurance Category Code]], $E$62,ACOAETME2022[[#All],[ACO/AE or Insurer Overall Organization ID]],ValbyACO_ICC2[[#This Row],[Org ID]])/ValbyACO_ICC2[[#This Row],[2022 Member Months]])</f>
        <v>NA</v>
      </c>
      <c r="X66" s="118" t="str">
        <f>IF(ValbyACO_ICC2[[#This Row],[2022 Member Months]]=0,"NA",SUMIFS(ACOAETME2022[[#All],[Claims: Pharmacy]],ACOAETME2022[[#All],[Insurance Category Code]], $E$62,ACOAETME2022[[#All],[ACO/AE or Insurer Overall Organization ID]],ValbyACO_ICC2[[#This Row],[Org ID]])/ValbyACO_ICC2[[#This Row],[2022 Member Months]])</f>
        <v>NA</v>
      </c>
      <c r="Y66" s="118" t="str">
        <f>IF(ValbyACO_ICC2[[#This Row],[2022 Member Months]]=0,"NA",SUMIFS(ACOAETME2022[[#All],[Claims: Long-Term Care]],ACOAETME2022[[#All],[Insurance Category Code]], $E$62,ACOAETME2022[[#All],[ACO/AE or Insurer Overall Organization ID]],ValbyACO_ICC2[[#This Row],[Org ID]])/ValbyACO_ICC2[[#This Row],[2022 Member Months]])</f>
        <v>NA</v>
      </c>
      <c r="Z66" s="118" t="str">
        <f>IF(ValbyACO_ICC2[[#This Row],[2022 Member Months]]=0,"NA",SUMIFS(ACOAETME2022[[#All],[Claims: Other]],ACOAETME2022[[#All],[Insurance Category Code]], $E$62,ACOAETME2022[[#All],[ACO/AE or Insurer Overall Organization ID]],ValbyACO_ICC2[[#This Row],[Org ID]])/ValbyACO_ICC2[[#This Row],[2022 Member Months]])</f>
        <v>NA</v>
      </c>
      <c r="AA66" s="118" t="str">
        <f>IF(ValbyACO_ICC2[[#This Row],[2022 Member Months]]=0,"NA",SUMIFS(ACOAETME2022[[#All],[TOTAL Non-Truncated Unadjusted Claims Expenses]],ACOAETME2022[[#All],[Insurance Category Code]], $E$62,ACOAETME2022[[#All],[ACO/AE or Insurer Overall Organization ID]],ValbyACO_ICC2[[#This Row],[Org ID]])/ValbyACO_ICC2[[#This Row],[2022 Member Months]])</f>
        <v>NA</v>
      </c>
      <c r="AB66" s="118" t="str">
        <f>IF(ValbyACO_ICC2[[#This Row],[2022 Member Months]]=0,"NA",SUMIFS(ACOAETME2022[[#All],[TOTAL Truncated Unadjusted Expenses (A20+A21)]],ACOAETME2022[[#All],[Insurance Category Code]], $E$62,ACOAETME2022[[#All],[ACO/AE or Insurer Overall Organization ID]],ValbyACO_ICC2[[#This Row],[Org ID]])/ValbyACO_ICC2[[#This Row],[2022 Member Months]])</f>
        <v>NA</v>
      </c>
      <c r="AC66" s="118" t="str">
        <f>IF(ValbyACO_ICC2[[#This Row],[2022 Member Months]]=0,"NA",SUMIFS(ACOAETME2022[[#All],[TOTAL Non-Claims Expenses]],ACOAETME2022[[#All],[Insurance Category Code]], $E$62,ACOAETME2022[[#All],[ACO/AE or Insurer Overall Organization ID]],ValbyACO_ICC2[[#This Row],[Org ID]])/ValbyACO_ICC2[[#This Row],[2022 Member Months]])</f>
        <v>NA</v>
      </c>
      <c r="AD66" s="268" t="str">
        <f>IF(ValbyACO_ICC2[[#This Row],[2022 Member Months]]=0,"NA",SUMIFS(ACOAETME2022[[#All],[TOTAL Non-Truncated Unadjusted Expenses 
(A19+A21)]],ACOAETME2022[[#All],[Insurance Category Code]], $E$62,ACOAETME2022[[#All],[ACO/AE or Insurer Overall Organization ID]],ValbyACO_ICC2[[#This Row],[Org ID]])/ValbyACO_ICC2[[#This Row],[2022 Member Months]])</f>
        <v>NA</v>
      </c>
      <c r="AE66" s="119" t="str">
        <f>IF(ValbyACO_ICC2[[#This Row],[2022 Member Months]]=0,"NA",SUMIFS(ACOAETME2022[[#All],[TOTAL Truncated Unadjusted Expenses (A20+A21)]],ACOAETME2022[[#All],[Insurance Category Code]],$E$62,ACOAETME2022[[#All],[ACO/AE or Insurer Overall Organization ID]],ValbyACO_ICC2[[#This Row],[Org ID]])/ValbyACO_ICC2[[#This Row],[2022 Member Months]])</f>
        <v>NA</v>
      </c>
      <c r="AF66" s="161" t="str">
        <f>IFERROR(IF(ValbyACO_ICC2[[#This Row],[2021 Member Months]]=0,"NA",ValbyACO_ICC2[[#This Row],[2022 Member Months]]/ValbyACO_ICC2[[#This Row],[2021 Member Months]]-1),"NA")</f>
        <v>NA</v>
      </c>
      <c r="AG66" s="161" t="str">
        <f>IFERROR(IF(ValbyACO_ICC2[[#This Row],[2021 Member Months]]=0,"NA",ValbyACO_ICC2[[#This Row],[2022 Claims: Hospital Inpatient]]/ValbyACO_ICC2[[#This Row],[2021 Claims: Hospital Inpatient]]-1),"NA")</f>
        <v>NA</v>
      </c>
      <c r="AH66" s="162" t="str">
        <f>IFERROR(IF(ValbyACO_ICC2[[#This Row],[2021 Member Months]]=0,"NA",ValbyACO_ICC2[[#This Row],[2022 Claims: Hospital Outpatient]]/ValbyACO_ICC2[[#This Row],[2021 Claims: Hospital Outpatient]]-1),"NA")</f>
        <v>NA</v>
      </c>
      <c r="AI66" s="162" t="str">
        <f>IFERROR(IF(ValbyACO_ICC2[[#This Row],[2021 Member Months]]=0,"NA",ValbyACO_ICC2[[#This Row],[2022 Claims: Professional, Primary Care]]/ValbyACO_ICC2[[#This Row],[2021 Claims: Professional, Primary Care]]-1),"NA")</f>
        <v>NA</v>
      </c>
      <c r="AJ66" s="162" t="str">
        <f>IFERROR(IF(ValbyACO_ICC2[[#This Row],[2021 Member Months]]=0,"NA",ValbyACO_ICC2[[#This Row],[2022 Claims: Professional, Specialty Care]]/ValbyACO_ICC2[[#This Row],[2021 Claims: Professional, Specialty Care]]-1),"NA")</f>
        <v>NA</v>
      </c>
      <c r="AK66" s="162" t="str">
        <f>IFERROR(IF(ValbyACO_ICC2[[#This Row],[2021 Member Months]]=0,"NA", ValbyACO_ICC2[[#This Row],[2022 Claims: Professional Other]]/ValbyACO_ICC2[[#This Row],[2021 Claims: Professional Other]]-1),"NA")</f>
        <v>NA</v>
      </c>
      <c r="AL66" s="162" t="str">
        <f>IFERROR(IF(ValbyACO_ICC2[[#This Row],[2021 Member Months]]=0,"NA",ValbyACO_ICC2[[#This Row],[2022 Claims: Pharmacy (Gross of Retail Pharmacy Rebates)]]/ValbyACO_ICC2[[#This Row],[2021 Claims: Pharmacy (Gross of  Rebates)]]-1),"NA")</f>
        <v>NA</v>
      </c>
      <c r="AM66" s="162" t="str">
        <f>IFERROR(IF(ValbyACO_ICC2[[#This Row],[2021 Member Months]]=0,"NA",ValbyACO_ICC2[[#This Row],[2022 Claims: Long-term Care]]/ValbyACO_ICC2[[#This Row],[2021 Claims: Long-term Care]]-1),"NA")</f>
        <v>NA</v>
      </c>
      <c r="AN66" s="162" t="str">
        <f>IFERROR(IF(ValbyACO_ICC2[[#This Row],[2021 Member Months]]=0,"NA",ValbyACO_ICC2[[#This Row],[2022 Claims: Other]]/ValbyACO_ICC2[[#This Row],[2021 Claims: Other]]-1),"NA")</f>
        <v>NA</v>
      </c>
      <c r="AO66" s="163" t="str">
        <f>IFERROR(IF(ValbyACO_ICC2[[#This Row],[2021 Member Months]]=0,"NA",ValbyACO_ICC2[[#This Row],[2022 TOTAL Non-Truncated Claims Expenses]]/ValbyACO_ICC2[[#This Row],[2021 TOTAL Non-Truncated Claims Expenses]]-1),"NA")</f>
        <v>NA</v>
      </c>
      <c r="AP66" s="163" t="str">
        <f>IFERROR(IF(ValbyACO_ICC2[[#This Row],[2021 Member Months]]=0,"NA",ValbyACO_ICC2[[#This Row],[2022 TOTAL Truncated Claims Expenses]]/ValbyACO_ICC2[[#This Row],[2021 TOTAL Truncated Claims Expenses]]-1),"NA")</f>
        <v>NA</v>
      </c>
      <c r="AQ66" s="163" t="str">
        <f>IFERROR(IF(ValbyACO_ICC2[[#This Row],[2021 Member Months]]=0,"NA",ValbyACO_ICC2[[#This Row],[2022 TOTAL Non-Claims Expenses]]/ValbyACO_ICC2[[#This Row],[2021 TOTAL Non-Claims Expenses]]-1),"NA")</f>
        <v>NA</v>
      </c>
      <c r="AR66" s="163" t="str">
        <f>IFERROR(IF(ValbyACO_ICC2[[#This Row],[2021 Member Months]]=0,"NA",ValbyACO_ICC2[[#This Row],[2022 TOTAL Non-Truncated Total Expenses]]/ValbyACO_ICC2[[#This Row],[2021 TOTAL Non-Truncated Total Expenses]]-1),"NA")</f>
        <v>NA</v>
      </c>
      <c r="AS66" s="163" t="str">
        <f>IFERROR(IF(ValbyACO_ICC2[[#This Row],[2021 Member Months]]=0,"NA",ValbyACO_ICC2[[#This Row],[2022 TOTAL Truncated Total Expenses]]/ValbyACO_ICC2[[#This Row],[2021 TOTAL Truncated Total Expenses]]-1),"NA")</f>
        <v>NA</v>
      </c>
    </row>
    <row r="67" spans="1:45" x14ac:dyDescent="0.35">
      <c r="A67" s="129"/>
      <c r="B67" s="250">
        <v>104</v>
      </c>
      <c r="C67" s="291" t="s">
        <v>191</v>
      </c>
      <c r="D67" s="272">
        <f>SUMIFS(ACOAETME2021[[#All],[Member Months]], ACOAETME2021[[#All],[Insurance Category Code]], $E$62, ACOAETME2021[[#All],[ACO/AE or Insurer Overall Organization ID]], ValbyACO_ICC2[[#This Row],[Org ID]])</f>
        <v>0</v>
      </c>
      <c r="E67" s="268" t="str">
        <f>IFERROR(IF(ValbyACO_ICC2[[#This Row],[2021 Member Months]]=0,"NA",SUMIFS(ACOAETME2021[[#All],[Claims: Hospital Inpatient]], ACOAETME2021[[#All],[Insurance Category Code]], $E$62, ACOAETME2021[[#All],[ACO/AE or Insurer Overall Organization ID]], ValbyACO_ICC2[[#This Row],[Org ID]])/ValbyACO_ICC2[[#This Row],[2021 Member Months]]), "NA")</f>
        <v>NA</v>
      </c>
      <c r="F67" s="268" t="str">
        <f>IFERROR(IF(ValbyACO_ICC2[[#This Row],[2021 Member Months]]=0,"NA",SUMIFS(ACOAETME2021[[#All],[Claims: Hospital Outpatient]], ACOAETME2021[[#All],[Insurance Category Code]], $E$62, ACOAETME2021[[#All],[ACO/AE or Insurer Overall Organization ID]], ValbyACO_ICC2[[#This Row],[Org ID]])/ValbyACO_ICC2[[#This Row],[2021 Member Months]]), "NA")</f>
        <v>NA</v>
      </c>
      <c r="G67" s="268" t="str">
        <f>IFERROR(IF(ValbyACO_ICC2[[#This Row],[2021 Member Months]]=0,"NA",SUMIFS(ACOAETME2021[[#All],[Claims: Professional, Primary Care]], ACOAETME2021[[#All],[Insurance Category Code]], $E$62, ACOAETME2021[[#All],[ACO/AE or Insurer Overall Organization ID]], ValbyACO_ICC2[[#This Row],[Org ID]])/ValbyACO_ICC2[[#This Row],[2021 Member Months]]), "NA")</f>
        <v>NA</v>
      </c>
      <c r="H67" s="268" t="str">
        <f>IFERROR(IF(ValbyACO_ICC2[[#This Row],[2021 Member Months]]=0,"NA",SUMIFS(ACOAETME2021[[#All],[Claims: Professional, Specialty Care]], ACOAETME2021[[#All],[Insurance Category Code]], $E$62, ACOAETME2021[[#All],[ACO/AE or Insurer Overall Organization ID]], ValbyACO_ICC2[[#This Row],[Org ID]])/ValbyACO_ICC2[[#This Row],[2021 Member Months]]), "NA")</f>
        <v>NA</v>
      </c>
      <c r="I67" s="268" t="str">
        <f>IFERROR(IF(ValbyACO_ICC2[[#This Row],[2021 Member Months]]=0,"NA",SUMIFS(ACOAETME2021[[#All],[Claims: Professional Other]], ACOAETME2021[[#All],[Insurance Category Code]], $E$62, ACOAETME2021[[#All],[ACO/AE or Insurer Overall Organization ID]], ValbyACO_ICC2[[#This Row],[Org ID]])/ValbyACO_ICC2[[#This Row],[2021 Member Months]]), "NA")</f>
        <v>NA</v>
      </c>
      <c r="J67" s="268" t="str">
        <f>IFERROR(IF(ValbyACO_ICC2[[#This Row],[2021 Member Months]]=0,"NA",SUMIFS(ACOAETME2021[[#All],[Claims: Pharmacy]], ACOAETME2021[[#All],[Insurance Category Code]], $E$62, ACOAETME2021[[#All],[ACO/AE or Insurer Overall Organization ID]], ValbyACO_ICC2[[#This Row],[Org ID]])/ValbyACO_ICC2[[#This Row],[2021 Member Months]]), "NA")</f>
        <v>NA</v>
      </c>
      <c r="K67" s="268" t="str">
        <f>IFERROR(IF(ValbyACO_ICC2[[#This Row],[2021 Member Months]]=0,"NA",SUMIFS(ACOAETME2021[[#All],[Claims: Long-Term Care]], ACOAETME2021[[#All],[Insurance Category Code]], $E$62, ACOAETME2021[[#All],[ACO/AE or Insurer Overall Organization ID]], ValbyACO_ICC2[[#This Row],[Org ID]])/ValbyACO_ICC2[[#This Row],[2021 Member Months]]), "NA")</f>
        <v>NA</v>
      </c>
      <c r="L67" s="268" t="str">
        <f>IFERROR(IF(ValbyACO_ICC2[[#This Row],[2021 Member Months]]=0,"NA",SUMIFS(ACOAETME2021[[#All],[Claims: Other]], ACOAETME2021[[#All],[Insurance Category Code]], $E$62, ACOAETME2021[[#All],[ACO/AE or Insurer Overall Organization ID]], ValbyACO_ICC2[[#This Row],[Org ID]])/ValbyACO_ICC2[[#This Row],[2021 Member Months]]), "NA")</f>
        <v>NA</v>
      </c>
      <c r="M67" s="118" t="str">
        <f>IF(ValbyACO_ICC2[[#This Row],[2021 Member Months]]=0,"NA",SUMIFS(ACOAETME2021[[#All],[TOTAL Non-Truncated Unadjusted Claims Expenses]], ACOAETME2021[[#All],[Insurance Category Code]], $E$62, ACOAETME2021[[#All],[ACO/AE or Insurer Overall Organization ID]], ValbyACO_ICC2[[#This Row],[Org ID]])/ValbyACO_ICC2[[#This Row],[2021 Member Months]])</f>
        <v>NA</v>
      </c>
      <c r="N67" s="118" t="str">
        <f>IF(ValbyACO_ICC2[[#This Row],[2021 Member Months]]=0,"NA",SUMIFS(ACOAETME2021[[#All],[TOTAL Truncated Unadjusted Claims Expenses (A19 - A17)]], ACOAETME2021[[#All],[Insurance Category Code]], $E$62, ACOAETME2021[[#All],[ACO/AE or Insurer Overall Organization ID]], ValbyACO_ICC2[[#This Row],[Org ID]])/ValbyACO_ICC2[[#This Row],[2021 Member Months]])</f>
        <v>NA</v>
      </c>
      <c r="O67" s="118" t="str">
        <f>IF(ValbyACO_ICC2[[#This Row],[2021 Member Months]]=0,"NA",SUMIFS(ACOAETME2021[[#All],[TOTAL Non-Claims Expenses]], ACOAETME2021[[#All],[Insurance Category Code]], $E$62, ACOAETME2021[[#All],[ACO/AE or Insurer Overall Organization ID]], ValbyACO_ICC2[[#This Row],[Org ID]])/ValbyACO_ICC2[[#This Row],[2021 Member Months]])</f>
        <v>NA</v>
      </c>
      <c r="P67" s="268" t="str">
        <f>IF(ValbyACO_ICC2[[#This Row],[2021 Member Months]]=0, "NA", SUMIFS(ACOAETME2021[[#All],[TOTAL Non-Truncated Unadjusted Expenses 
(A19+A21)]], ACOAETME2021[[#All],[Insurance Category Code]], $E$62, ACOAETME2021[[#All],[ACO/AE or Insurer Overall Organization ID]], ValbyACO_ICC2[[#This Row],[Org ID]])/ValbyACO_ICC2[[#This Row],[2021 Member Months]])</f>
        <v>NA</v>
      </c>
      <c r="Q67" s="119" t="str">
        <f>IF(ValbyACO_ICC2[[#This Row],[2021 Member Months]]=0, "NA", SUMIFS(ACOAETME2021[[#All],[TOTAL Truncated Unadjusted Expenses (A20+A21)]], ACOAETME2021[[#All],[Insurance Category Code]], $E$62, ACOAETME2021[[#All],[ACO/AE or Insurer Overall Organization ID]], ValbyACO_ICC2[[#This Row],[Org ID]])/ValbyACO_ICC2[[#This Row],[2021 Member Months]])</f>
        <v>NA</v>
      </c>
      <c r="R67" s="272">
        <f>SUMIFS(ACOAETME2022[[#All],[Member Months]],ACOAETME2022[[#All],[Insurance Category Code]], $E$62,ACOAETME2022[[#All],[ACO/AE or Insurer Overall Organization ID]],ValbyACO_ICC2[[#This Row],[Org ID]])</f>
        <v>0</v>
      </c>
      <c r="S67" s="118" t="str">
        <f>IF(ValbyACO_ICC2[[#This Row],[2022 Member Months]]=0,"NA",SUMIFS(ACOAETME2022[[#All],[Claims: Hospital Inpatient]],ACOAETME2022[[#All],[Insurance Category Code]], $E$62,ACOAETME2022[[#All],[ACO/AE or Insurer Overall Organization ID]],ValbyACO_ICC2[[#This Row],[Org ID]])/ValbyACO_ICC2[[#This Row],[2022 Member Months]])</f>
        <v>NA</v>
      </c>
      <c r="T67" s="118" t="str">
        <f>IF(ValbyACO_ICC2[[#This Row],[2022 Member Months]]=0,"NA",SUMIFS(ACOAETME2022[[#All],[Claims: Hospital Outpatient]],ACOAETME2022[[#All],[Insurance Category Code]], $E$62,ACOAETME2022[[#All],[ACO/AE or Insurer Overall Organization ID]],ValbyACO_ICC2[[#This Row],[Org ID]])/ValbyACO_ICC2[[#This Row],[2022 Member Months]])</f>
        <v>NA</v>
      </c>
      <c r="U67" s="118" t="str">
        <f>IF(ValbyACO_ICC2[[#This Row],[2022 Member Months]]=0,"NA",SUMIFS(ACOAETME2022[[#All],[Claims: Professional, Primary Care]],ACOAETME2022[[#All],[Insurance Category Code]], $E$62,ACOAETME2022[[#All],[ACO/AE or Insurer Overall Organization ID]],ValbyACO_ICC2[[#This Row],[Org ID]])/ValbyACO_ICC2[[#This Row],[2022 Member Months]])</f>
        <v>NA</v>
      </c>
      <c r="V67" s="118" t="str">
        <f>IF(ValbyACO_ICC2[[#This Row],[2022 Member Months]]=0,"NA",SUMIFS(ACOAETME2022[[#All],[Claims: Professional, Specialty Care]],ACOAETME2022[[#All],[Insurance Category Code]], $E$62,ACOAETME2022[[#All],[ACO/AE or Insurer Overall Organization ID]],ValbyACO_ICC2[[#This Row],[Org ID]])/ValbyACO_ICC2[[#This Row],[2022 Member Months]])</f>
        <v>NA</v>
      </c>
      <c r="W67" s="118" t="str">
        <f>IF(ValbyACO_ICC2[[#This Row],[2022 Member Months]]=0,"NA",SUMIFS(ACOAETME2022[[#All],[Claims: Professional Other]],ACOAETME2022[[#All],[Insurance Category Code]], $E$62,ACOAETME2022[[#All],[ACO/AE or Insurer Overall Organization ID]],ValbyACO_ICC2[[#This Row],[Org ID]])/ValbyACO_ICC2[[#This Row],[2022 Member Months]])</f>
        <v>NA</v>
      </c>
      <c r="X67" s="118" t="str">
        <f>IF(ValbyACO_ICC2[[#This Row],[2022 Member Months]]=0,"NA",SUMIFS(ACOAETME2022[[#All],[Claims: Pharmacy]],ACOAETME2022[[#All],[Insurance Category Code]], $E$62,ACOAETME2022[[#All],[ACO/AE or Insurer Overall Organization ID]],ValbyACO_ICC2[[#This Row],[Org ID]])/ValbyACO_ICC2[[#This Row],[2022 Member Months]])</f>
        <v>NA</v>
      </c>
      <c r="Y67" s="118" t="str">
        <f>IF(ValbyACO_ICC2[[#This Row],[2022 Member Months]]=0,"NA",SUMIFS(ACOAETME2022[[#All],[Claims: Long-Term Care]],ACOAETME2022[[#All],[Insurance Category Code]], $E$62,ACOAETME2022[[#All],[ACO/AE or Insurer Overall Organization ID]],ValbyACO_ICC2[[#This Row],[Org ID]])/ValbyACO_ICC2[[#This Row],[2022 Member Months]])</f>
        <v>NA</v>
      </c>
      <c r="Z67" s="118" t="str">
        <f>IF(ValbyACO_ICC2[[#This Row],[2022 Member Months]]=0,"NA",SUMIFS(ACOAETME2022[[#All],[Claims: Other]],ACOAETME2022[[#All],[Insurance Category Code]], $E$62,ACOAETME2022[[#All],[ACO/AE or Insurer Overall Organization ID]],ValbyACO_ICC2[[#This Row],[Org ID]])/ValbyACO_ICC2[[#This Row],[2022 Member Months]])</f>
        <v>NA</v>
      </c>
      <c r="AA67" s="118" t="str">
        <f>IF(ValbyACO_ICC2[[#This Row],[2022 Member Months]]=0,"NA",SUMIFS(ACOAETME2022[[#All],[TOTAL Non-Truncated Unadjusted Claims Expenses]],ACOAETME2022[[#All],[Insurance Category Code]], $E$62,ACOAETME2022[[#All],[ACO/AE or Insurer Overall Organization ID]],ValbyACO_ICC2[[#This Row],[Org ID]])/ValbyACO_ICC2[[#This Row],[2022 Member Months]])</f>
        <v>NA</v>
      </c>
      <c r="AB67" s="118" t="str">
        <f>IF(ValbyACO_ICC2[[#This Row],[2022 Member Months]]=0,"NA",SUMIFS(ACOAETME2022[[#All],[TOTAL Truncated Unadjusted Expenses (A20+A21)]],ACOAETME2022[[#All],[Insurance Category Code]], $E$62,ACOAETME2022[[#All],[ACO/AE or Insurer Overall Organization ID]],ValbyACO_ICC2[[#This Row],[Org ID]])/ValbyACO_ICC2[[#This Row],[2022 Member Months]])</f>
        <v>NA</v>
      </c>
      <c r="AC67" s="118" t="str">
        <f>IF(ValbyACO_ICC2[[#This Row],[2022 Member Months]]=0,"NA",SUMIFS(ACOAETME2022[[#All],[TOTAL Non-Claims Expenses]],ACOAETME2022[[#All],[Insurance Category Code]], $E$62,ACOAETME2022[[#All],[ACO/AE or Insurer Overall Organization ID]],ValbyACO_ICC2[[#This Row],[Org ID]])/ValbyACO_ICC2[[#This Row],[2022 Member Months]])</f>
        <v>NA</v>
      </c>
      <c r="AD67" s="268" t="str">
        <f>IF(ValbyACO_ICC2[[#This Row],[2022 Member Months]]=0,"NA",SUMIFS(ACOAETME2022[[#All],[TOTAL Non-Truncated Unadjusted Expenses 
(A19+A21)]],ACOAETME2022[[#All],[Insurance Category Code]], $E$62,ACOAETME2022[[#All],[ACO/AE or Insurer Overall Organization ID]],ValbyACO_ICC2[[#This Row],[Org ID]])/ValbyACO_ICC2[[#This Row],[2022 Member Months]])</f>
        <v>NA</v>
      </c>
      <c r="AE67" s="119" t="str">
        <f>IF(ValbyACO_ICC2[[#This Row],[2022 Member Months]]=0,"NA",SUMIFS(ACOAETME2022[[#All],[TOTAL Truncated Unadjusted Expenses (A20+A21)]],ACOAETME2022[[#All],[Insurance Category Code]],$E$62,ACOAETME2022[[#All],[ACO/AE or Insurer Overall Organization ID]],ValbyACO_ICC2[[#This Row],[Org ID]])/ValbyACO_ICC2[[#This Row],[2022 Member Months]])</f>
        <v>NA</v>
      </c>
      <c r="AF67" s="161" t="str">
        <f>IFERROR(IF(ValbyACO_ICC2[[#This Row],[2021 Member Months]]=0,"NA",ValbyACO_ICC2[[#This Row],[2022 Member Months]]/ValbyACO_ICC2[[#This Row],[2021 Member Months]]-1),"NA")</f>
        <v>NA</v>
      </c>
      <c r="AG67" s="161" t="str">
        <f>IFERROR(IF(ValbyACO_ICC2[[#This Row],[2021 Member Months]]=0,"NA",ValbyACO_ICC2[[#This Row],[2022 Claims: Hospital Inpatient]]/ValbyACO_ICC2[[#This Row],[2021 Claims: Hospital Inpatient]]-1),"NA")</f>
        <v>NA</v>
      </c>
      <c r="AH67" s="162" t="str">
        <f>IFERROR(IF(ValbyACO_ICC2[[#This Row],[2021 Member Months]]=0,"NA",ValbyACO_ICC2[[#This Row],[2022 Claims: Hospital Outpatient]]/ValbyACO_ICC2[[#This Row],[2021 Claims: Hospital Outpatient]]-1),"NA")</f>
        <v>NA</v>
      </c>
      <c r="AI67" s="162" t="str">
        <f>IFERROR(IF(ValbyACO_ICC2[[#This Row],[2021 Member Months]]=0,"NA",ValbyACO_ICC2[[#This Row],[2022 Claims: Professional, Primary Care]]/ValbyACO_ICC2[[#This Row],[2021 Claims: Professional, Primary Care]]-1),"NA")</f>
        <v>NA</v>
      </c>
      <c r="AJ67" s="162" t="str">
        <f>IFERROR(IF(ValbyACO_ICC2[[#This Row],[2021 Member Months]]=0,"NA",ValbyACO_ICC2[[#This Row],[2022 Claims: Professional, Specialty Care]]/ValbyACO_ICC2[[#This Row],[2021 Claims: Professional, Specialty Care]]-1),"NA")</f>
        <v>NA</v>
      </c>
      <c r="AK67" s="162" t="str">
        <f>IFERROR(IF(ValbyACO_ICC2[[#This Row],[2021 Member Months]]=0,"NA", ValbyACO_ICC2[[#This Row],[2022 Claims: Professional Other]]/ValbyACO_ICC2[[#This Row],[2021 Claims: Professional Other]]-1),"NA")</f>
        <v>NA</v>
      </c>
      <c r="AL67" s="162" t="str">
        <f>IFERROR(IF(ValbyACO_ICC2[[#This Row],[2021 Member Months]]=0,"NA",ValbyACO_ICC2[[#This Row],[2022 Claims: Pharmacy (Gross of Retail Pharmacy Rebates)]]/ValbyACO_ICC2[[#This Row],[2021 Claims: Pharmacy (Gross of  Rebates)]]-1),"NA")</f>
        <v>NA</v>
      </c>
      <c r="AM67" s="162" t="str">
        <f>IFERROR(IF(ValbyACO_ICC2[[#This Row],[2021 Member Months]]=0,"NA",ValbyACO_ICC2[[#This Row],[2022 Claims: Long-term Care]]/ValbyACO_ICC2[[#This Row],[2021 Claims: Long-term Care]]-1),"NA")</f>
        <v>NA</v>
      </c>
      <c r="AN67" s="162" t="str">
        <f>IFERROR(IF(ValbyACO_ICC2[[#This Row],[2021 Member Months]]=0,"NA",ValbyACO_ICC2[[#This Row],[2022 Claims: Other]]/ValbyACO_ICC2[[#This Row],[2021 Claims: Other]]-1),"NA")</f>
        <v>NA</v>
      </c>
      <c r="AO67" s="163" t="str">
        <f>IFERROR(IF(ValbyACO_ICC2[[#This Row],[2021 Member Months]]=0,"NA",ValbyACO_ICC2[[#This Row],[2022 TOTAL Non-Truncated Claims Expenses]]/ValbyACO_ICC2[[#This Row],[2021 TOTAL Non-Truncated Claims Expenses]]-1),"NA")</f>
        <v>NA</v>
      </c>
      <c r="AP67" s="163" t="str">
        <f>IFERROR(IF(ValbyACO_ICC2[[#This Row],[2021 Member Months]]=0,"NA",ValbyACO_ICC2[[#This Row],[2022 TOTAL Truncated Claims Expenses]]/ValbyACO_ICC2[[#This Row],[2021 TOTAL Truncated Claims Expenses]]-1),"NA")</f>
        <v>NA</v>
      </c>
      <c r="AQ67" s="163" t="str">
        <f>IFERROR(IF(ValbyACO_ICC2[[#This Row],[2021 Member Months]]=0,"NA",ValbyACO_ICC2[[#This Row],[2022 TOTAL Non-Claims Expenses]]/ValbyACO_ICC2[[#This Row],[2021 TOTAL Non-Claims Expenses]]-1),"NA")</f>
        <v>NA</v>
      </c>
      <c r="AR67" s="163" t="str">
        <f>IFERROR(IF(ValbyACO_ICC2[[#This Row],[2021 Member Months]]=0,"NA",ValbyACO_ICC2[[#This Row],[2022 TOTAL Non-Truncated Total Expenses]]/ValbyACO_ICC2[[#This Row],[2021 TOTAL Non-Truncated Total Expenses]]-1),"NA")</f>
        <v>NA</v>
      </c>
      <c r="AS67" s="163" t="str">
        <f>IFERROR(IF(ValbyACO_ICC2[[#This Row],[2021 Member Months]]=0,"NA",ValbyACO_ICC2[[#This Row],[2022 TOTAL Truncated Total Expenses]]/ValbyACO_ICC2[[#This Row],[2021 TOTAL Truncated Total Expenses]]-1),"NA")</f>
        <v>NA</v>
      </c>
    </row>
    <row r="68" spans="1:45" x14ac:dyDescent="0.35">
      <c r="A68" s="129"/>
      <c r="B68" s="250">
        <v>105</v>
      </c>
      <c r="C68" s="291" t="s">
        <v>169</v>
      </c>
      <c r="D68" s="272">
        <f>SUMIFS(ACOAETME2021[[#All],[Member Months]], ACOAETME2021[[#All],[Insurance Category Code]], $E$62, ACOAETME2021[[#All],[ACO/AE or Insurer Overall Organization ID]], ValbyACO_ICC2[[#This Row],[Org ID]])</f>
        <v>0</v>
      </c>
      <c r="E68" s="268" t="str">
        <f>IFERROR(IF(ValbyACO_ICC2[[#This Row],[2021 Member Months]]=0,"NA",SUMIFS(ACOAETME2021[[#All],[Claims: Hospital Inpatient]], ACOAETME2021[[#All],[Insurance Category Code]], $E$62, ACOAETME2021[[#All],[ACO/AE or Insurer Overall Organization ID]], ValbyACO_ICC2[[#This Row],[Org ID]])/ValbyACO_ICC2[[#This Row],[2021 Member Months]]), "NA")</f>
        <v>NA</v>
      </c>
      <c r="F68" s="268" t="str">
        <f>IFERROR(IF(ValbyACO_ICC2[[#This Row],[2021 Member Months]]=0,"NA",SUMIFS(ACOAETME2021[[#All],[Claims: Hospital Outpatient]], ACOAETME2021[[#All],[Insurance Category Code]], $E$62, ACOAETME2021[[#All],[ACO/AE or Insurer Overall Organization ID]], ValbyACO_ICC2[[#This Row],[Org ID]])/ValbyACO_ICC2[[#This Row],[2021 Member Months]]), "NA")</f>
        <v>NA</v>
      </c>
      <c r="G68" s="268" t="str">
        <f>IFERROR(IF(ValbyACO_ICC2[[#This Row],[2021 Member Months]]=0,"NA",SUMIFS(ACOAETME2021[[#All],[Claims: Professional, Primary Care]], ACOAETME2021[[#All],[Insurance Category Code]], $E$62, ACOAETME2021[[#All],[ACO/AE or Insurer Overall Organization ID]], ValbyACO_ICC2[[#This Row],[Org ID]])/ValbyACO_ICC2[[#This Row],[2021 Member Months]]), "NA")</f>
        <v>NA</v>
      </c>
      <c r="H68" s="268" t="str">
        <f>IFERROR(IF(ValbyACO_ICC2[[#This Row],[2021 Member Months]]=0,"NA",SUMIFS(ACOAETME2021[[#All],[Claims: Professional, Specialty Care]], ACOAETME2021[[#All],[Insurance Category Code]], $E$62, ACOAETME2021[[#All],[ACO/AE or Insurer Overall Organization ID]], ValbyACO_ICC2[[#This Row],[Org ID]])/ValbyACO_ICC2[[#This Row],[2021 Member Months]]), "NA")</f>
        <v>NA</v>
      </c>
      <c r="I68" s="268" t="str">
        <f>IFERROR(IF(ValbyACO_ICC2[[#This Row],[2021 Member Months]]=0,"NA",SUMIFS(ACOAETME2021[[#All],[Claims: Professional Other]], ACOAETME2021[[#All],[Insurance Category Code]], $E$62, ACOAETME2021[[#All],[ACO/AE or Insurer Overall Organization ID]], ValbyACO_ICC2[[#This Row],[Org ID]])/ValbyACO_ICC2[[#This Row],[2021 Member Months]]), "NA")</f>
        <v>NA</v>
      </c>
      <c r="J68" s="268" t="str">
        <f>IFERROR(IF(ValbyACO_ICC2[[#This Row],[2021 Member Months]]=0,"NA",SUMIFS(ACOAETME2021[[#All],[Claims: Pharmacy]], ACOAETME2021[[#All],[Insurance Category Code]], $E$62, ACOAETME2021[[#All],[ACO/AE or Insurer Overall Organization ID]], ValbyACO_ICC2[[#This Row],[Org ID]])/ValbyACO_ICC2[[#This Row],[2021 Member Months]]), "NA")</f>
        <v>NA</v>
      </c>
      <c r="K68" s="268" t="str">
        <f>IFERROR(IF(ValbyACO_ICC2[[#This Row],[2021 Member Months]]=0,"NA",SUMIFS(ACOAETME2021[[#All],[Claims: Long-Term Care]], ACOAETME2021[[#All],[Insurance Category Code]], $E$62, ACOAETME2021[[#All],[ACO/AE or Insurer Overall Organization ID]], ValbyACO_ICC2[[#This Row],[Org ID]])/ValbyACO_ICC2[[#This Row],[2021 Member Months]]), "NA")</f>
        <v>NA</v>
      </c>
      <c r="L68" s="268" t="str">
        <f>IFERROR(IF(ValbyACO_ICC2[[#This Row],[2021 Member Months]]=0,"NA",SUMIFS(ACOAETME2021[[#All],[Claims: Other]], ACOAETME2021[[#All],[Insurance Category Code]], $E$62, ACOAETME2021[[#All],[ACO/AE or Insurer Overall Organization ID]], ValbyACO_ICC2[[#This Row],[Org ID]])/ValbyACO_ICC2[[#This Row],[2021 Member Months]]), "NA")</f>
        <v>NA</v>
      </c>
      <c r="M68" s="118" t="str">
        <f>IF(ValbyACO_ICC2[[#This Row],[2021 Member Months]]=0,"NA",SUMIFS(ACOAETME2021[[#All],[TOTAL Non-Truncated Unadjusted Claims Expenses]], ACOAETME2021[[#All],[Insurance Category Code]], $E$62, ACOAETME2021[[#All],[ACO/AE or Insurer Overall Organization ID]], ValbyACO_ICC2[[#This Row],[Org ID]])/ValbyACO_ICC2[[#This Row],[2021 Member Months]])</f>
        <v>NA</v>
      </c>
      <c r="N68" s="118" t="str">
        <f>IF(ValbyACO_ICC2[[#This Row],[2021 Member Months]]=0,"NA",SUMIFS(ACOAETME2021[[#All],[TOTAL Truncated Unadjusted Claims Expenses (A19 - A17)]], ACOAETME2021[[#All],[Insurance Category Code]], $E$62, ACOAETME2021[[#All],[ACO/AE or Insurer Overall Organization ID]], ValbyACO_ICC2[[#This Row],[Org ID]])/ValbyACO_ICC2[[#This Row],[2021 Member Months]])</f>
        <v>NA</v>
      </c>
      <c r="O68" s="118" t="str">
        <f>IF(ValbyACO_ICC2[[#This Row],[2021 Member Months]]=0,"NA",SUMIFS(ACOAETME2021[[#All],[TOTAL Non-Claims Expenses]], ACOAETME2021[[#All],[Insurance Category Code]], $E$62, ACOAETME2021[[#All],[ACO/AE or Insurer Overall Organization ID]], ValbyACO_ICC2[[#This Row],[Org ID]])/ValbyACO_ICC2[[#This Row],[2021 Member Months]])</f>
        <v>NA</v>
      </c>
      <c r="P68" s="268" t="str">
        <f>IF(ValbyACO_ICC2[[#This Row],[2021 Member Months]]=0, "NA", SUMIFS(ACOAETME2021[[#All],[TOTAL Non-Truncated Unadjusted Expenses 
(A19+A21)]], ACOAETME2021[[#All],[Insurance Category Code]], $E$62, ACOAETME2021[[#All],[ACO/AE or Insurer Overall Organization ID]], ValbyACO_ICC2[[#This Row],[Org ID]])/ValbyACO_ICC2[[#This Row],[2021 Member Months]])</f>
        <v>NA</v>
      </c>
      <c r="Q68" s="119" t="str">
        <f>IF(ValbyACO_ICC2[[#This Row],[2021 Member Months]]=0, "NA", SUMIFS(ACOAETME2021[[#All],[TOTAL Truncated Unadjusted Expenses (A20+A21)]], ACOAETME2021[[#All],[Insurance Category Code]], $E$62, ACOAETME2021[[#All],[ACO/AE or Insurer Overall Organization ID]], ValbyACO_ICC2[[#This Row],[Org ID]])/ValbyACO_ICC2[[#This Row],[2021 Member Months]])</f>
        <v>NA</v>
      </c>
      <c r="R68" s="272">
        <f>SUMIFS(ACOAETME2022[[#All],[Member Months]],ACOAETME2022[[#All],[Insurance Category Code]], $E$62,ACOAETME2022[[#All],[ACO/AE or Insurer Overall Organization ID]],ValbyACO_ICC2[[#This Row],[Org ID]])</f>
        <v>0</v>
      </c>
      <c r="S68" s="118" t="str">
        <f>IF(ValbyACO_ICC2[[#This Row],[2022 Member Months]]=0,"NA",SUMIFS(ACOAETME2022[[#All],[Claims: Hospital Inpatient]],ACOAETME2022[[#All],[Insurance Category Code]], $E$62,ACOAETME2022[[#All],[ACO/AE or Insurer Overall Organization ID]],ValbyACO_ICC2[[#This Row],[Org ID]])/ValbyACO_ICC2[[#This Row],[2022 Member Months]])</f>
        <v>NA</v>
      </c>
      <c r="T68" s="118" t="str">
        <f>IF(ValbyACO_ICC2[[#This Row],[2022 Member Months]]=0,"NA",SUMIFS(ACOAETME2022[[#All],[Claims: Hospital Outpatient]],ACOAETME2022[[#All],[Insurance Category Code]], $E$62,ACOAETME2022[[#All],[ACO/AE or Insurer Overall Organization ID]],ValbyACO_ICC2[[#This Row],[Org ID]])/ValbyACO_ICC2[[#This Row],[2022 Member Months]])</f>
        <v>NA</v>
      </c>
      <c r="U68" s="118" t="str">
        <f>IF(ValbyACO_ICC2[[#This Row],[2022 Member Months]]=0,"NA",SUMIFS(ACOAETME2022[[#All],[Claims: Professional, Primary Care]],ACOAETME2022[[#All],[Insurance Category Code]], $E$62,ACOAETME2022[[#All],[ACO/AE or Insurer Overall Organization ID]],ValbyACO_ICC2[[#This Row],[Org ID]])/ValbyACO_ICC2[[#This Row],[2022 Member Months]])</f>
        <v>NA</v>
      </c>
      <c r="V68" s="118" t="str">
        <f>IF(ValbyACO_ICC2[[#This Row],[2022 Member Months]]=0,"NA",SUMIFS(ACOAETME2022[[#All],[Claims: Professional, Specialty Care]],ACOAETME2022[[#All],[Insurance Category Code]], $E$62,ACOAETME2022[[#All],[ACO/AE or Insurer Overall Organization ID]],ValbyACO_ICC2[[#This Row],[Org ID]])/ValbyACO_ICC2[[#This Row],[2022 Member Months]])</f>
        <v>NA</v>
      </c>
      <c r="W68" s="118" t="str">
        <f>IF(ValbyACO_ICC2[[#This Row],[2022 Member Months]]=0,"NA",SUMIFS(ACOAETME2022[[#All],[Claims: Professional Other]],ACOAETME2022[[#All],[Insurance Category Code]], $E$62,ACOAETME2022[[#All],[ACO/AE or Insurer Overall Organization ID]],ValbyACO_ICC2[[#This Row],[Org ID]])/ValbyACO_ICC2[[#This Row],[2022 Member Months]])</f>
        <v>NA</v>
      </c>
      <c r="X68" s="118" t="str">
        <f>IF(ValbyACO_ICC2[[#This Row],[2022 Member Months]]=0,"NA",SUMIFS(ACOAETME2022[[#All],[Claims: Pharmacy]],ACOAETME2022[[#All],[Insurance Category Code]], $E$62,ACOAETME2022[[#All],[ACO/AE or Insurer Overall Organization ID]],ValbyACO_ICC2[[#This Row],[Org ID]])/ValbyACO_ICC2[[#This Row],[2022 Member Months]])</f>
        <v>NA</v>
      </c>
      <c r="Y68" s="118" t="str">
        <f>IF(ValbyACO_ICC2[[#This Row],[2022 Member Months]]=0,"NA",SUMIFS(ACOAETME2022[[#All],[Claims: Long-Term Care]],ACOAETME2022[[#All],[Insurance Category Code]], $E$62,ACOAETME2022[[#All],[ACO/AE or Insurer Overall Organization ID]],ValbyACO_ICC2[[#This Row],[Org ID]])/ValbyACO_ICC2[[#This Row],[2022 Member Months]])</f>
        <v>NA</v>
      </c>
      <c r="Z68" s="118" t="str">
        <f>IF(ValbyACO_ICC2[[#This Row],[2022 Member Months]]=0,"NA",SUMIFS(ACOAETME2022[[#All],[Claims: Other]],ACOAETME2022[[#All],[Insurance Category Code]], $E$62,ACOAETME2022[[#All],[ACO/AE or Insurer Overall Organization ID]],ValbyACO_ICC2[[#This Row],[Org ID]])/ValbyACO_ICC2[[#This Row],[2022 Member Months]])</f>
        <v>NA</v>
      </c>
      <c r="AA68" s="118" t="str">
        <f>IF(ValbyACO_ICC2[[#This Row],[2022 Member Months]]=0,"NA",SUMIFS(ACOAETME2022[[#All],[TOTAL Non-Truncated Unadjusted Claims Expenses]],ACOAETME2022[[#All],[Insurance Category Code]], $E$62,ACOAETME2022[[#All],[ACO/AE or Insurer Overall Organization ID]],ValbyACO_ICC2[[#This Row],[Org ID]])/ValbyACO_ICC2[[#This Row],[2022 Member Months]])</f>
        <v>NA</v>
      </c>
      <c r="AB68" s="118" t="str">
        <f>IF(ValbyACO_ICC2[[#This Row],[2022 Member Months]]=0,"NA",SUMIFS(ACOAETME2022[[#All],[TOTAL Truncated Unadjusted Expenses (A20+A21)]],ACOAETME2022[[#All],[Insurance Category Code]], $E$62,ACOAETME2022[[#All],[ACO/AE or Insurer Overall Organization ID]],ValbyACO_ICC2[[#This Row],[Org ID]])/ValbyACO_ICC2[[#This Row],[2022 Member Months]])</f>
        <v>NA</v>
      </c>
      <c r="AC68" s="118" t="str">
        <f>IF(ValbyACO_ICC2[[#This Row],[2022 Member Months]]=0,"NA",SUMIFS(ACOAETME2022[[#All],[TOTAL Non-Claims Expenses]],ACOAETME2022[[#All],[Insurance Category Code]], $E$62,ACOAETME2022[[#All],[ACO/AE or Insurer Overall Organization ID]],ValbyACO_ICC2[[#This Row],[Org ID]])/ValbyACO_ICC2[[#This Row],[2022 Member Months]])</f>
        <v>NA</v>
      </c>
      <c r="AD68" s="268" t="str">
        <f>IF(ValbyACO_ICC2[[#This Row],[2022 Member Months]]=0,"NA",SUMIFS(ACOAETME2022[[#All],[TOTAL Non-Truncated Unadjusted Expenses 
(A19+A21)]],ACOAETME2022[[#All],[Insurance Category Code]], $E$62,ACOAETME2022[[#All],[ACO/AE or Insurer Overall Organization ID]],ValbyACO_ICC2[[#This Row],[Org ID]])/ValbyACO_ICC2[[#This Row],[2022 Member Months]])</f>
        <v>NA</v>
      </c>
      <c r="AE68" s="119" t="str">
        <f>IF(ValbyACO_ICC2[[#This Row],[2022 Member Months]]=0,"NA",SUMIFS(ACOAETME2022[[#All],[TOTAL Truncated Unadjusted Expenses (A20+A21)]],ACOAETME2022[[#All],[Insurance Category Code]],$E$62,ACOAETME2022[[#All],[ACO/AE or Insurer Overall Organization ID]],ValbyACO_ICC2[[#This Row],[Org ID]])/ValbyACO_ICC2[[#This Row],[2022 Member Months]])</f>
        <v>NA</v>
      </c>
      <c r="AF68" s="161" t="str">
        <f>IFERROR(IF(ValbyACO_ICC2[[#This Row],[2021 Member Months]]=0,"NA",ValbyACO_ICC2[[#This Row],[2022 Member Months]]/ValbyACO_ICC2[[#This Row],[2021 Member Months]]-1),"NA")</f>
        <v>NA</v>
      </c>
      <c r="AG68" s="161" t="str">
        <f>IFERROR(IF(ValbyACO_ICC2[[#This Row],[2021 Member Months]]=0,"NA",ValbyACO_ICC2[[#This Row],[2022 Claims: Hospital Inpatient]]/ValbyACO_ICC2[[#This Row],[2021 Claims: Hospital Inpatient]]-1),"NA")</f>
        <v>NA</v>
      </c>
      <c r="AH68" s="162" t="str">
        <f>IFERROR(IF(ValbyACO_ICC2[[#This Row],[2021 Member Months]]=0,"NA",ValbyACO_ICC2[[#This Row],[2022 Claims: Hospital Outpatient]]/ValbyACO_ICC2[[#This Row],[2021 Claims: Hospital Outpatient]]-1),"NA")</f>
        <v>NA</v>
      </c>
      <c r="AI68" s="162" t="str">
        <f>IFERROR(IF(ValbyACO_ICC2[[#This Row],[2021 Member Months]]=0,"NA",ValbyACO_ICC2[[#This Row],[2022 Claims: Professional, Primary Care]]/ValbyACO_ICC2[[#This Row],[2021 Claims: Professional, Primary Care]]-1),"NA")</f>
        <v>NA</v>
      </c>
      <c r="AJ68" s="162" t="str">
        <f>IFERROR(IF(ValbyACO_ICC2[[#This Row],[2021 Member Months]]=0,"NA",ValbyACO_ICC2[[#This Row],[2022 Claims: Professional, Specialty Care]]/ValbyACO_ICC2[[#This Row],[2021 Claims: Professional, Specialty Care]]-1),"NA")</f>
        <v>NA</v>
      </c>
      <c r="AK68" s="162" t="str">
        <f>IFERROR(IF(ValbyACO_ICC2[[#This Row],[2021 Member Months]]=0,"NA", ValbyACO_ICC2[[#This Row],[2022 Claims: Professional Other]]/ValbyACO_ICC2[[#This Row],[2021 Claims: Professional Other]]-1),"NA")</f>
        <v>NA</v>
      </c>
      <c r="AL68" s="162" t="str">
        <f>IFERROR(IF(ValbyACO_ICC2[[#This Row],[2021 Member Months]]=0,"NA",ValbyACO_ICC2[[#This Row],[2022 Claims: Pharmacy (Gross of Retail Pharmacy Rebates)]]/ValbyACO_ICC2[[#This Row],[2021 Claims: Pharmacy (Gross of  Rebates)]]-1),"NA")</f>
        <v>NA</v>
      </c>
      <c r="AM68" s="162" t="str">
        <f>IFERROR(IF(ValbyACO_ICC2[[#This Row],[2021 Member Months]]=0,"NA",ValbyACO_ICC2[[#This Row],[2022 Claims: Long-term Care]]/ValbyACO_ICC2[[#This Row],[2021 Claims: Long-term Care]]-1),"NA")</f>
        <v>NA</v>
      </c>
      <c r="AN68" s="162" t="str">
        <f>IFERROR(IF(ValbyACO_ICC2[[#This Row],[2021 Member Months]]=0,"NA",ValbyACO_ICC2[[#This Row],[2022 Claims: Other]]/ValbyACO_ICC2[[#This Row],[2021 Claims: Other]]-1),"NA")</f>
        <v>NA</v>
      </c>
      <c r="AO68" s="163" t="str">
        <f>IFERROR(IF(ValbyACO_ICC2[[#This Row],[2021 Member Months]]=0,"NA",ValbyACO_ICC2[[#This Row],[2022 TOTAL Non-Truncated Claims Expenses]]/ValbyACO_ICC2[[#This Row],[2021 TOTAL Non-Truncated Claims Expenses]]-1),"NA")</f>
        <v>NA</v>
      </c>
      <c r="AP68" s="163" t="str">
        <f>IFERROR(IF(ValbyACO_ICC2[[#This Row],[2021 Member Months]]=0,"NA",ValbyACO_ICC2[[#This Row],[2022 TOTAL Truncated Claims Expenses]]/ValbyACO_ICC2[[#This Row],[2021 TOTAL Truncated Claims Expenses]]-1),"NA")</f>
        <v>NA</v>
      </c>
      <c r="AQ68" s="163" t="str">
        <f>IFERROR(IF(ValbyACO_ICC2[[#This Row],[2021 Member Months]]=0,"NA",ValbyACO_ICC2[[#This Row],[2022 TOTAL Non-Claims Expenses]]/ValbyACO_ICC2[[#This Row],[2021 TOTAL Non-Claims Expenses]]-1),"NA")</f>
        <v>NA</v>
      </c>
      <c r="AR68" s="163" t="str">
        <f>IFERROR(IF(ValbyACO_ICC2[[#This Row],[2021 Member Months]]=0,"NA",ValbyACO_ICC2[[#This Row],[2022 TOTAL Non-Truncated Total Expenses]]/ValbyACO_ICC2[[#This Row],[2021 TOTAL Non-Truncated Total Expenses]]-1),"NA")</f>
        <v>NA</v>
      </c>
      <c r="AS68" s="163" t="str">
        <f>IFERROR(IF(ValbyACO_ICC2[[#This Row],[2021 Member Months]]=0,"NA",ValbyACO_ICC2[[#This Row],[2022 TOTAL Truncated Total Expenses]]/ValbyACO_ICC2[[#This Row],[2021 TOTAL Truncated Total Expenses]]-1),"NA")</f>
        <v>NA</v>
      </c>
    </row>
    <row r="69" spans="1:45" x14ac:dyDescent="0.35">
      <c r="A69" s="129"/>
      <c r="B69" s="250">
        <v>106</v>
      </c>
      <c r="C69" s="291" t="s">
        <v>170</v>
      </c>
      <c r="D69" s="272">
        <f>SUMIFS(ACOAETME2021[[#All],[Member Months]], ACOAETME2021[[#All],[Insurance Category Code]], $E$62, ACOAETME2021[[#All],[ACO/AE or Insurer Overall Organization ID]], ValbyACO_ICC2[[#This Row],[Org ID]])</f>
        <v>0</v>
      </c>
      <c r="E69" s="268" t="str">
        <f>IFERROR(IF(ValbyACO_ICC2[[#This Row],[2021 Member Months]]=0,"NA",SUMIFS(ACOAETME2021[[#All],[Claims: Hospital Inpatient]], ACOAETME2021[[#All],[Insurance Category Code]], $E$62, ACOAETME2021[[#All],[ACO/AE or Insurer Overall Organization ID]], ValbyACO_ICC2[[#This Row],[Org ID]])/ValbyACO_ICC2[[#This Row],[2021 Member Months]]), "NA")</f>
        <v>NA</v>
      </c>
      <c r="F69" s="268" t="str">
        <f>IFERROR(IF(ValbyACO_ICC2[[#This Row],[2021 Member Months]]=0,"NA",SUMIFS(ACOAETME2021[[#All],[Claims: Hospital Outpatient]], ACOAETME2021[[#All],[Insurance Category Code]], $E$62, ACOAETME2021[[#All],[ACO/AE or Insurer Overall Organization ID]], ValbyACO_ICC2[[#This Row],[Org ID]])/ValbyACO_ICC2[[#This Row],[2021 Member Months]]), "NA")</f>
        <v>NA</v>
      </c>
      <c r="G69" s="268" t="str">
        <f>IFERROR(IF(ValbyACO_ICC2[[#This Row],[2021 Member Months]]=0,"NA",SUMIFS(ACOAETME2021[[#All],[Claims: Professional, Primary Care]], ACOAETME2021[[#All],[Insurance Category Code]], $E$62, ACOAETME2021[[#All],[ACO/AE or Insurer Overall Organization ID]], ValbyACO_ICC2[[#This Row],[Org ID]])/ValbyACO_ICC2[[#This Row],[2021 Member Months]]), "NA")</f>
        <v>NA</v>
      </c>
      <c r="H69" s="268" t="str">
        <f>IFERROR(IF(ValbyACO_ICC2[[#This Row],[2021 Member Months]]=0,"NA",SUMIFS(ACOAETME2021[[#All],[Claims: Professional, Specialty Care]], ACOAETME2021[[#All],[Insurance Category Code]], $E$62, ACOAETME2021[[#All],[ACO/AE or Insurer Overall Organization ID]], ValbyACO_ICC2[[#This Row],[Org ID]])/ValbyACO_ICC2[[#This Row],[2021 Member Months]]), "NA")</f>
        <v>NA</v>
      </c>
      <c r="I69" s="268" t="str">
        <f>IFERROR(IF(ValbyACO_ICC2[[#This Row],[2021 Member Months]]=0,"NA",SUMIFS(ACOAETME2021[[#All],[Claims: Professional Other]], ACOAETME2021[[#All],[Insurance Category Code]], $E$62, ACOAETME2021[[#All],[ACO/AE or Insurer Overall Organization ID]], ValbyACO_ICC2[[#This Row],[Org ID]])/ValbyACO_ICC2[[#This Row],[2021 Member Months]]), "NA")</f>
        <v>NA</v>
      </c>
      <c r="J69" s="268" t="str">
        <f>IFERROR(IF(ValbyACO_ICC2[[#This Row],[2021 Member Months]]=0,"NA",SUMIFS(ACOAETME2021[[#All],[Claims: Pharmacy]], ACOAETME2021[[#All],[Insurance Category Code]], $E$62, ACOAETME2021[[#All],[ACO/AE or Insurer Overall Organization ID]], ValbyACO_ICC2[[#This Row],[Org ID]])/ValbyACO_ICC2[[#This Row],[2021 Member Months]]), "NA")</f>
        <v>NA</v>
      </c>
      <c r="K69" s="268" t="str">
        <f>IFERROR(IF(ValbyACO_ICC2[[#This Row],[2021 Member Months]]=0,"NA",SUMIFS(ACOAETME2021[[#All],[Claims: Long-Term Care]], ACOAETME2021[[#All],[Insurance Category Code]], $E$62, ACOAETME2021[[#All],[ACO/AE or Insurer Overall Organization ID]], ValbyACO_ICC2[[#This Row],[Org ID]])/ValbyACO_ICC2[[#This Row],[2021 Member Months]]), "NA")</f>
        <v>NA</v>
      </c>
      <c r="L69" s="268" t="str">
        <f>IFERROR(IF(ValbyACO_ICC2[[#This Row],[2021 Member Months]]=0,"NA",SUMIFS(ACOAETME2021[[#All],[Claims: Other]], ACOAETME2021[[#All],[Insurance Category Code]], $E$62, ACOAETME2021[[#All],[ACO/AE or Insurer Overall Organization ID]], ValbyACO_ICC2[[#This Row],[Org ID]])/ValbyACO_ICC2[[#This Row],[2021 Member Months]]), "NA")</f>
        <v>NA</v>
      </c>
      <c r="M69" s="118" t="str">
        <f>IF(ValbyACO_ICC2[[#This Row],[2021 Member Months]]=0,"NA",SUMIFS(ACOAETME2021[[#All],[TOTAL Non-Truncated Unadjusted Claims Expenses]], ACOAETME2021[[#All],[Insurance Category Code]], $E$62, ACOAETME2021[[#All],[ACO/AE or Insurer Overall Organization ID]], ValbyACO_ICC2[[#This Row],[Org ID]])/ValbyACO_ICC2[[#This Row],[2021 Member Months]])</f>
        <v>NA</v>
      </c>
      <c r="N69" s="118" t="str">
        <f>IF(ValbyACO_ICC2[[#This Row],[2021 Member Months]]=0,"NA",SUMIFS(ACOAETME2021[[#All],[TOTAL Truncated Unadjusted Claims Expenses (A19 - A17)]], ACOAETME2021[[#All],[Insurance Category Code]], $E$62, ACOAETME2021[[#All],[ACO/AE or Insurer Overall Organization ID]], ValbyACO_ICC2[[#This Row],[Org ID]])/ValbyACO_ICC2[[#This Row],[2021 Member Months]])</f>
        <v>NA</v>
      </c>
      <c r="O69" s="118" t="str">
        <f>IF(ValbyACO_ICC2[[#This Row],[2021 Member Months]]=0,"NA",SUMIFS(ACOAETME2021[[#All],[TOTAL Non-Claims Expenses]], ACOAETME2021[[#All],[Insurance Category Code]], $E$62, ACOAETME2021[[#All],[ACO/AE or Insurer Overall Organization ID]], ValbyACO_ICC2[[#This Row],[Org ID]])/ValbyACO_ICC2[[#This Row],[2021 Member Months]])</f>
        <v>NA</v>
      </c>
      <c r="P69" s="268" t="str">
        <f>IF(ValbyACO_ICC2[[#This Row],[2021 Member Months]]=0, "NA", SUMIFS(ACOAETME2021[[#All],[TOTAL Non-Truncated Unadjusted Expenses 
(A19+A21)]], ACOAETME2021[[#All],[Insurance Category Code]], $E$62, ACOAETME2021[[#All],[ACO/AE or Insurer Overall Organization ID]], ValbyACO_ICC2[[#This Row],[Org ID]])/ValbyACO_ICC2[[#This Row],[2021 Member Months]])</f>
        <v>NA</v>
      </c>
      <c r="Q69" s="119" t="str">
        <f>IF(ValbyACO_ICC2[[#This Row],[2021 Member Months]]=0, "NA", SUMIFS(ACOAETME2021[[#All],[TOTAL Truncated Unadjusted Expenses (A20+A21)]], ACOAETME2021[[#All],[Insurance Category Code]], $E$62, ACOAETME2021[[#All],[ACO/AE or Insurer Overall Organization ID]], ValbyACO_ICC2[[#This Row],[Org ID]])/ValbyACO_ICC2[[#This Row],[2021 Member Months]])</f>
        <v>NA</v>
      </c>
      <c r="R69" s="272">
        <f>SUMIFS(ACOAETME2022[[#All],[Member Months]],ACOAETME2022[[#All],[Insurance Category Code]], $E$62,ACOAETME2022[[#All],[ACO/AE or Insurer Overall Organization ID]],ValbyACO_ICC2[[#This Row],[Org ID]])</f>
        <v>0</v>
      </c>
      <c r="S69" s="118" t="str">
        <f>IF(ValbyACO_ICC2[[#This Row],[2022 Member Months]]=0,"NA",SUMIFS(ACOAETME2022[[#All],[Claims: Hospital Inpatient]],ACOAETME2022[[#All],[Insurance Category Code]], $E$62,ACOAETME2022[[#All],[ACO/AE or Insurer Overall Organization ID]],ValbyACO_ICC2[[#This Row],[Org ID]])/ValbyACO_ICC2[[#This Row],[2022 Member Months]])</f>
        <v>NA</v>
      </c>
      <c r="T69" s="118" t="str">
        <f>IF(ValbyACO_ICC2[[#This Row],[2022 Member Months]]=0,"NA",SUMIFS(ACOAETME2022[[#All],[Claims: Hospital Outpatient]],ACOAETME2022[[#All],[Insurance Category Code]], $E$62,ACOAETME2022[[#All],[ACO/AE or Insurer Overall Organization ID]],ValbyACO_ICC2[[#This Row],[Org ID]])/ValbyACO_ICC2[[#This Row],[2022 Member Months]])</f>
        <v>NA</v>
      </c>
      <c r="U69" s="118" t="str">
        <f>IF(ValbyACO_ICC2[[#This Row],[2022 Member Months]]=0,"NA",SUMIFS(ACOAETME2022[[#All],[Claims: Professional, Primary Care]],ACOAETME2022[[#All],[Insurance Category Code]], $E$62,ACOAETME2022[[#All],[ACO/AE or Insurer Overall Organization ID]],ValbyACO_ICC2[[#This Row],[Org ID]])/ValbyACO_ICC2[[#This Row],[2022 Member Months]])</f>
        <v>NA</v>
      </c>
      <c r="V69" s="118" t="str">
        <f>IF(ValbyACO_ICC2[[#This Row],[2022 Member Months]]=0,"NA",SUMIFS(ACOAETME2022[[#All],[Claims: Professional, Specialty Care]],ACOAETME2022[[#All],[Insurance Category Code]], $E$62,ACOAETME2022[[#All],[ACO/AE or Insurer Overall Organization ID]],ValbyACO_ICC2[[#This Row],[Org ID]])/ValbyACO_ICC2[[#This Row],[2022 Member Months]])</f>
        <v>NA</v>
      </c>
      <c r="W69" s="118" t="str">
        <f>IF(ValbyACO_ICC2[[#This Row],[2022 Member Months]]=0,"NA",SUMIFS(ACOAETME2022[[#All],[Claims: Professional Other]],ACOAETME2022[[#All],[Insurance Category Code]], $E$62,ACOAETME2022[[#All],[ACO/AE or Insurer Overall Organization ID]],ValbyACO_ICC2[[#This Row],[Org ID]])/ValbyACO_ICC2[[#This Row],[2022 Member Months]])</f>
        <v>NA</v>
      </c>
      <c r="X69" s="118" t="str">
        <f>IF(ValbyACO_ICC2[[#This Row],[2022 Member Months]]=0,"NA",SUMIFS(ACOAETME2022[[#All],[Claims: Pharmacy]],ACOAETME2022[[#All],[Insurance Category Code]], $E$62,ACOAETME2022[[#All],[ACO/AE or Insurer Overall Organization ID]],ValbyACO_ICC2[[#This Row],[Org ID]])/ValbyACO_ICC2[[#This Row],[2022 Member Months]])</f>
        <v>NA</v>
      </c>
      <c r="Y69" s="118" t="str">
        <f>IF(ValbyACO_ICC2[[#This Row],[2022 Member Months]]=0,"NA",SUMIFS(ACOAETME2022[[#All],[Claims: Long-Term Care]],ACOAETME2022[[#All],[Insurance Category Code]], $E$62,ACOAETME2022[[#All],[ACO/AE or Insurer Overall Organization ID]],ValbyACO_ICC2[[#This Row],[Org ID]])/ValbyACO_ICC2[[#This Row],[2022 Member Months]])</f>
        <v>NA</v>
      </c>
      <c r="Z69" s="118" t="str">
        <f>IF(ValbyACO_ICC2[[#This Row],[2022 Member Months]]=0,"NA",SUMIFS(ACOAETME2022[[#All],[Claims: Other]],ACOAETME2022[[#All],[Insurance Category Code]], $E$62,ACOAETME2022[[#All],[ACO/AE or Insurer Overall Organization ID]],ValbyACO_ICC2[[#This Row],[Org ID]])/ValbyACO_ICC2[[#This Row],[2022 Member Months]])</f>
        <v>NA</v>
      </c>
      <c r="AA69" s="118" t="str">
        <f>IF(ValbyACO_ICC2[[#This Row],[2022 Member Months]]=0,"NA",SUMIFS(ACOAETME2022[[#All],[TOTAL Non-Truncated Unadjusted Claims Expenses]],ACOAETME2022[[#All],[Insurance Category Code]], $E$62,ACOAETME2022[[#All],[ACO/AE or Insurer Overall Organization ID]],ValbyACO_ICC2[[#This Row],[Org ID]])/ValbyACO_ICC2[[#This Row],[2022 Member Months]])</f>
        <v>NA</v>
      </c>
      <c r="AB69" s="118" t="str">
        <f>IF(ValbyACO_ICC2[[#This Row],[2022 Member Months]]=0,"NA",SUMIFS(ACOAETME2022[[#All],[TOTAL Truncated Unadjusted Expenses (A20+A21)]],ACOAETME2022[[#All],[Insurance Category Code]], $E$62,ACOAETME2022[[#All],[ACO/AE or Insurer Overall Organization ID]],ValbyACO_ICC2[[#This Row],[Org ID]])/ValbyACO_ICC2[[#This Row],[2022 Member Months]])</f>
        <v>NA</v>
      </c>
      <c r="AC69" s="118" t="str">
        <f>IF(ValbyACO_ICC2[[#This Row],[2022 Member Months]]=0,"NA",SUMIFS(ACOAETME2022[[#All],[TOTAL Non-Claims Expenses]],ACOAETME2022[[#All],[Insurance Category Code]], $E$62,ACOAETME2022[[#All],[ACO/AE or Insurer Overall Organization ID]],ValbyACO_ICC2[[#This Row],[Org ID]])/ValbyACO_ICC2[[#This Row],[2022 Member Months]])</f>
        <v>NA</v>
      </c>
      <c r="AD69" s="268" t="str">
        <f>IF(ValbyACO_ICC2[[#This Row],[2022 Member Months]]=0,"NA",SUMIFS(ACOAETME2022[[#All],[TOTAL Non-Truncated Unadjusted Expenses 
(A19+A21)]],ACOAETME2022[[#All],[Insurance Category Code]], $E$62,ACOAETME2022[[#All],[ACO/AE or Insurer Overall Organization ID]],ValbyACO_ICC2[[#This Row],[Org ID]])/ValbyACO_ICC2[[#This Row],[2022 Member Months]])</f>
        <v>NA</v>
      </c>
      <c r="AE69" s="119" t="str">
        <f>IF(ValbyACO_ICC2[[#This Row],[2022 Member Months]]=0,"NA",SUMIFS(ACOAETME2022[[#All],[TOTAL Truncated Unadjusted Expenses (A20+A21)]],ACOAETME2022[[#All],[Insurance Category Code]],$E$62,ACOAETME2022[[#All],[ACO/AE or Insurer Overall Organization ID]],ValbyACO_ICC2[[#This Row],[Org ID]])/ValbyACO_ICC2[[#This Row],[2022 Member Months]])</f>
        <v>NA</v>
      </c>
      <c r="AF69" s="161" t="str">
        <f>IFERROR(IF(ValbyACO_ICC2[[#This Row],[2021 Member Months]]=0,"NA",ValbyACO_ICC2[[#This Row],[2022 Member Months]]/ValbyACO_ICC2[[#This Row],[2021 Member Months]]-1),"NA")</f>
        <v>NA</v>
      </c>
      <c r="AG69" s="161" t="str">
        <f>IFERROR(IF(ValbyACO_ICC2[[#This Row],[2021 Member Months]]=0,"NA",ValbyACO_ICC2[[#This Row],[2022 Claims: Hospital Inpatient]]/ValbyACO_ICC2[[#This Row],[2021 Claims: Hospital Inpatient]]-1),"NA")</f>
        <v>NA</v>
      </c>
      <c r="AH69" s="162" t="str">
        <f>IFERROR(IF(ValbyACO_ICC2[[#This Row],[2021 Member Months]]=0,"NA",ValbyACO_ICC2[[#This Row],[2022 Claims: Hospital Outpatient]]/ValbyACO_ICC2[[#This Row],[2021 Claims: Hospital Outpatient]]-1),"NA")</f>
        <v>NA</v>
      </c>
      <c r="AI69" s="162" t="str">
        <f>IFERROR(IF(ValbyACO_ICC2[[#This Row],[2021 Member Months]]=0,"NA",ValbyACO_ICC2[[#This Row],[2022 Claims: Professional, Primary Care]]/ValbyACO_ICC2[[#This Row],[2021 Claims: Professional, Primary Care]]-1),"NA")</f>
        <v>NA</v>
      </c>
      <c r="AJ69" s="162" t="str">
        <f>IFERROR(IF(ValbyACO_ICC2[[#This Row],[2021 Member Months]]=0,"NA",ValbyACO_ICC2[[#This Row],[2022 Claims: Professional, Specialty Care]]/ValbyACO_ICC2[[#This Row],[2021 Claims: Professional, Specialty Care]]-1),"NA")</f>
        <v>NA</v>
      </c>
      <c r="AK69" s="162" t="str">
        <f>IFERROR(IF(ValbyACO_ICC2[[#This Row],[2021 Member Months]]=0,"NA", ValbyACO_ICC2[[#This Row],[2022 Claims: Professional Other]]/ValbyACO_ICC2[[#This Row],[2021 Claims: Professional Other]]-1),"NA")</f>
        <v>NA</v>
      </c>
      <c r="AL69" s="162" t="str">
        <f>IFERROR(IF(ValbyACO_ICC2[[#This Row],[2021 Member Months]]=0,"NA",ValbyACO_ICC2[[#This Row],[2022 Claims: Pharmacy (Gross of Retail Pharmacy Rebates)]]/ValbyACO_ICC2[[#This Row],[2021 Claims: Pharmacy (Gross of  Rebates)]]-1),"NA")</f>
        <v>NA</v>
      </c>
      <c r="AM69" s="162" t="str">
        <f>IFERROR(IF(ValbyACO_ICC2[[#This Row],[2021 Member Months]]=0,"NA",ValbyACO_ICC2[[#This Row],[2022 Claims: Long-term Care]]/ValbyACO_ICC2[[#This Row],[2021 Claims: Long-term Care]]-1),"NA")</f>
        <v>NA</v>
      </c>
      <c r="AN69" s="162" t="str">
        <f>IFERROR(IF(ValbyACO_ICC2[[#This Row],[2021 Member Months]]=0,"NA",ValbyACO_ICC2[[#This Row],[2022 Claims: Other]]/ValbyACO_ICC2[[#This Row],[2021 Claims: Other]]-1),"NA")</f>
        <v>NA</v>
      </c>
      <c r="AO69" s="163" t="str">
        <f>IFERROR(IF(ValbyACO_ICC2[[#This Row],[2021 Member Months]]=0,"NA",ValbyACO_ICC2[[#This Row],[2022 TOTAL Non-Truncated Claims Expenses]]/ValbyACO_ICC2[[#This Row],[2021 TOTAL Non-Truncated Claims Expenses]]-1),"NA")</f>
        <v>NA</v>
      </c>
      <c r="AP69" s="163" t="str">
        <f>IFERROR(IF(ValbyACO_ICC2[[#This Row],[2021 Member Months]]=0,"NA",ValbyACO_ICC2[[#This Row],[2022 TOTAL Truncated Claims Expenses]]/ValbyACO_ICC2[[#This Row],[2021 TOTAL Truncated Claims Expenses]]-1),"NA")</f>
        <v>NA</v>
      </c>
      <c r="AQ69" s="163" t="str">
        <f>IFERROR(IF(ValbyACO_ICC2[[#This Row],[2021 Member Months]]=0,"NA",ValbyACO_ICC2[[#This Row],[2022 TOTAL Non-Claims Expenses]]/ValbyACO_ICC2[[#This Row],[2021 TOTAL Non-Claims Expenses]]-1),"NA")</f>
        <v>NA</v>
      </c>
      <c r="AR69" s="163" t="str">
        <f>IFERROR(IF(ValbyACO_ICC2[[#This Row],[2021 Member Months]]=0,"NA",ValbyACO_ICC2[[#This Row],[2022 TOTAL Non-Truncated Total Expenses]]/ValbyACO_ICC2[[#This Row],[2021 TOTAL Non-Truncated Total Expenses]]-1),"NA")</f>
        <v>NA</v>
      </c>
      <c r="AS69" s="163" t="str">
        <f>IFERROR(IF(ValbyACO_ICC2[[#This Row],[2021 Member Months]]=0,"NA",ValbyACO_ICC2[[#This Row],[2022 TOTAL Truncated Total Expenses]]/ValbyACO_ICC2[[#This Row],[2021 TOTAL Truncated Total Expenses]]-1),"NA")</f>
        <v>NA</v>
      </c>
    </row>
    <row r="70" spans="1:45" x14ac:dyDescent="0.35">
      <c r="A70" s="129"/>
      <c r="B70" s="250">
        <v>107</v>
      </c>
      <c r="C70" s="291" t="s">
        <v>171</v>
      </c>
      <c r="D70" s="272">
        <f>SUMIFS(ACOAETME2021[[#All],[Member Months]], ACOAETME2021[[#All],[Insurance Category Code]], $E$62, ACOAETME2021[[#All],[ACO/AE or Insurer Overall Organization ID]], ValbyACO_ICC2[[#This Row],[Org ID]])</f>
        <v>0</v>
      </c>
      <c r="E70" s="268" t="str">
        <f>IFERROR(IF(ValbyACO_ICC2[[#This Row],[2021 Member Months]]=0,"NA",SUMIFS(ACOAETME2021[[#All],[Claims: Hospital Inpatient]], ACOAETME2021[[#All],[Insurance Category Code]], $E$62, ACOAETME2021[[#All],[ACO/AE or Insurer Overall Organization ID]], ValbyACO_ICC2[[#This Row],[Org ID]])/ValbyACO_ICC2[[#This Row],[2021 Member Months]]), "NA")</f>
        <v>NA</v>
      </c>
      <c r="F70" s="268" t="str">
        <f>IFERROR(IF(ValbyACO_ICC2[[#This Row],[2021 Member Months]]=0,"NA",SUMIFS(ACOAETME2021[[#All],[Claims: Hospital Outpatient]], ACOAETME2021[[#All],[Insurance Category Code]], $E$62, ACOAETME2021[[#All],[ACO/AE or Insurer Overall Organization ID]], ValbyACO_ICC2[[#This Row],[Org ID]])/ValbyACO_ICC2[[#This Row],[2021 Member Months]]), "NA")</f>
        <v>NA</v>
      </c>
      <c r="G70" s="268" t="str">
        <f>IFERROR(IF(ValbyACO_ICC2[[#This Row],[2021 Member Months]]=0,"NA",SUMIFS(ACOAETME2021[[#All],[Claims: Professional, Primary Care]], ACOAETME2021[[#All],[Insurance Category Code]], $E$62, ACOAETME2021[[#All],[ACO/AE or Insurer Overall Organization ID]], ValbyACO_ICC2[[#This Row],[Org ID]])/ValbyACO_ICC2[[#This Row],[2021 Member Months]]), "NA")</f>
        <v>NA</v>
      </c>
      <c r="H70" s="268" t="str">
        <f>IFERROR(IF(ValbyACO_ICC2[[#This Row],[2021 Member Months]]=0,"NA",SUMIFS(ACOAETME2021[[#All],[Claims: Professional, Specialty Care]], ACOAETME2021[[#All],[Insurance Category Code]], $E$62, ACOAETME2021[[#All],[ACO/AE or Insurer Overall Organization ID]], ValbyACO_ICC2[[#This Row],[Org ID]])/ValbyACO_ICC2[[#This Row],[2021 Member Months]]), "NA")</f>
        <v>NA</v>
      </c>
      <c r="I70" s="268" t="str">
        <f>IFERROR(IF(ValbyACO_ICC2[[#This Row],[2021 Member Months]]=0,"NA",SUMIFS(ACOAETME2021[[#All],[Claims: Professional Other]], ACOAETME2021[[#All],[Insurance Category Code]], $E$62, ACOAETME2021[[#All],[ACO/AE or Insurer Overall Organization ID]], ValbyACO_ICC2[[#This Row],[Org ID]])/ValbyACO_ICC2[[#This Row],[2021 Member Months]]), "NA")</f>
        <v>NA</v>
      </c>
      <c r="J70" s="268" t="str">
        <f>IFERROR(IF(ValbyACO_ICC2[[#This Row],[2021 Member Months]]=0,"NA",SUMIFS(ACOAETME2021[[#All],[Claims: Pharmacy]], ACOAETME2021[[#All],[Insurance Category Code]], $E$62, ACOAETME2021[[#All],[ACO/AE or Insurer Overall Organization ID]], ValbyACO_ICC2[[#This Row],[Org ID]])/ValbyACO_ICC2[[#This Row],[2021 Member Months]]), "NA")</f>
        <v>NA</v>
      </c>
      <c r="K70" s="268" t="str">
        <f>IFERROR(IF(ValbyACO_ICC2[[#This Row],[2021 Member Months]]=0,"NA",SUMIFS(ACOAETME2021[[#All],[Claims: Long-Term Care]], ACOAETME2021[[#All],[Insurance Category Code]], $E$62, ACOAETME2021[[#All],[ACO/AE or Insurer Overall Organization ID]], ValbyACO_ICC2[[#This Row],[Org ID]])/ValbyACO_ICC2[[#This Row],[2021 Member Months]]), "NA")</f>
        <v>NA</v>
      </c>
      <c r="L70" s="268" t="str">
        <f>IFERROR(IF(ValbyACO_ICC2[[#This Row],[2021 Member Months]]=0,"NA",SUMIFS(ACOAETME2021[[#All],[Claims: Other]], ACOAETME2021[[#All],[Insurance Category Code]], $E$62, ACOAETME2021[[#All],[ACO/AE or Insurer Overall Organization ID]], ValbyACO_ICC2[[#This Row],[Org ID]])/ValbyACO_ICC2[[#This Row],[2021 Member Months]]), "NA")</f>
        <v>NA</v>
      </c>
      <c r="M70" s="118" t="str">
        <f>IF(ValbyACO_ICC2[[#This Row],[2021 Member Months]]=0,"NA",SUMIFS(ACOAETME2021[[#All],[TOTAL Non-Truncated Unadjusted Claims Expenses]], ACOAETME2021[[#All],[Insurance Category Code]], $E$62, ACOAETME2021[[#All],[ACO/AE or Insurer Overall Organization ID]], ValbyACO_ICC2[[#This Row],[Org ID]])/ValbyACO_ICC2[[#This Row],[2021 Member Months]])</f>
        <v>NA</v>
      </c>
      <c r="N70" s="118" t="str">
        <f>IF(ValbyACO_ICC2[[#This Row],[2021 Member Months]]=0,"NA",SUMIFS(ACOAETME2021[[#All],[TOTAL Truncated Unadjusted Claims Expenses (A19 - A17)]], ACOAETME2021[[#All],[Insurance Category Code]], $E$62, ACOAETME2021[[#All],[ACO/AE or Insurer Overall Organization ID]], ValbyACO_ICC2[[#This Row],[Org ID]])/ValbyACO_ICC2[[#This Row],[2021 Member Months]])</f>
        <v>NA</v>
      </c>
      <c r="O70" s="118" t="str">
        <f>IF(ValbyACO_ICC2[[#This Row],[2021 Member Months]]=0,"NA",SUMIFS(ACOAETME2021[[#All],[TOTAL Non-Claims Expenses]], ACOAETME2021[[#All],[Insurance Category Code]], $E$62, ACOAETME2021[[#All],[ACO/AE or Insurer Overall Organization ID]], ValbyACO_ICC2[[#This Row],[Org ID]])/ValbyACO_ICC2[[#This Row],[2021 Member Months]])</f>
        <v>NA</v>
      </c>
      <c r="P70" s="268" t="str">
        <f>IF(ValbyACO_ICC2[[#This Row],[2021 Member Months]]=0, "NA", SUMIFS(ACOAETME2021[[#All],[TOTAL Non-Truncated Unadjusted Expenses 
(A19+A21)]], ACOAETME2021[[#All],[Insurance Category Code]], $E$62, ACOAETME2021[[#All],[ACO/AE or Insurer Overall Organization ID]], ValbyACO_ICC2[[#This Row],[Org ID]])/ValbyACO_ICC2[[#This Row],[2021 Member Months]])</f>
        <v>NA</v>
      </c>
      <c r="Q70" s="119" t="str">
        <f>IF(ValbyACO_ICC2[[#This Row],[2021 Member Months]]=0, "NA", SUMIFS(ACOAETME2021[[#All],[TOTAL Truncated Unadjusted Expenses (A20+A21)]], ACOAETME2021[[#All],[Insurance Category Code]], $E$62, ACOAETME2021[[#All],[ACO/AE or Insurer Overall Organization ID]], ValbyACO_ICC2[[#This Row],[Org ID]])/ValbyACO_ICC2[[#This Row],[2021 Member Months]])</f>
        <v>NA</v>
      </c>
      <c r="R70" s="272">
        <f>SUMIFS(ACOAETME2022[[#All],[Member Months]],ACOAETME2022[[#All],[Insurance Category Code]], $E$62,ACOAETME2022[[#All],[ACO/AE or Insurer Overall Organization ID]],ValbyACO_ICC2[[#This Row],[Org ID]])</f>
        <v>0</v>
      </c>
      <c r="S70" s="118" t="str">
        <f>IF(ValbyACO_ICC2[[#This Row],[2022 Member Months]]=0,"NA",SUMIFS(ACOAETME2022[[#All],[Claims: Hospital Inpatient]],ACOAETME2022[[#All],[Insurance Category Code]], $E$62,ACOAETME2022[[#All],[ACO/AE or Insurer Overall Organization ID]],ValbyACO_ICC2[[#This Row],[Org ID]])/ValbyACO_ICC2[[#This Row],[2022 Member Months]])</f>
        <v>NA</v>
      </c>
      <c r="T70" s="118" t="str">
        <f>IF(ValbyACO_ICC2[[#This Row],[2022 Member Months]]=0,"NA",SUMIFS(ACOAETME2022[[#All],[Claims: Hospital Outpatient]],ACOAETME2022[[#All],[Insurance Category Code]], $E$62,ACOAETME2022[[#All],[ACO/AE or Insurer Overall Organization ID]],ValbyACO_ICC2[[#This Row],[Org ID]])/ValbyACO_ICC2[[#This Row],[2022 Member Months]])</f>
        <v>NA</v>
      </c>
      <c r="U70" s="118" t="str">
        <f>IF(ValbyACO_ICC2[[#This Row],[2022 Member Months]]=0,"NA",SUMIFS(ACOAETME2022[[#All],[Claims: Professional, Primary Care]],ACOAETME2022[[#All],[Insurance Category Code]], $E$62,ACOAETME2022[[#All],[ACO/AE or Insurer Overall Organization ID]],ValbyACO_ICC2[[#This Row],[Org ID]])/ValbyACO_ICC2[[#This Row],[2022 Member Months]])</f>
        <v>NA</v>
      </c>
      <c r="V70" s="118" t="str">
        <f>IF(ValbyACO_ICC2[[#This Row],[2022 Member Months]]=0,"NA",SUMIFS(ACOAETME2022[[#All],[Claims: Professional, Specialty Care]],ACOAETME2022[[#All],[Insurance Category Code]], $E$62,ACOAETME2022[[#All],[ACO/AE or Insurer Overall Organization ID]],ValbyACO_ICC2[[#This Row],[Org ID]])/ValbyACO_ICC2[[#This Row],[2022 Member Months]])</f>
        <v>NA</v>
      </c>
      <c r="W70" s="118" t="str">
        <f>IF(ValbyACO_ICC2[[#This Row],[2022 Member Months]]=0,"NA",SUMIFS(ACOAETME2022[[#All],[Claims: Professional Other]],ACOAETME2022[[#All],[Insurance Category Code]], $E$62,ACOAETME2022[[#All],[ACO/AE or Insurer Overall Organization ID]],ValbyACO_ICC2[[#This Row],[Org ID]])/ValbyACO_ICC2[[#This Row],[2022 Member Months]])</f>
        <v>NA</v>
      </c>
      <c r="X70" s="118" t="str">
        <f>IF(ValbyACO_ICC2[[#This Row],[2022 Member Months]]=0,"NA",SUMIFS(ACOAETME2022[[#All],[Claims: Pharmacy]],ACOAETME2022[[#All],[Insurance Category Code]], $E$62,ACOAETME2022[[#All],[ACO/AE or Insurer Overall Organization ID]],ValbyACO_ICC2[[#This Row],[Org ID]])/ValbyACO_ICC2[[#This Row],[2022 Member Months]])</f>
        <v>NA</v>
      </c>
      <c r="Y70" s="118" t="str">
        <f>IF(ValbyACO_ICC2[[#This Row],[2022 Member Months]]=0,"NA",SUMIFS(ACOAETME2022[[#All],[Claims: Long-Term Care]],ACOAETME2022[[#All],[Insurance Category Code]], $E$62,ACOAETME2022[[#All],[ACO/AE or Insurer Overall Organization ID]],ValbyACO_ICC2[[#This Row],[Org ID]])/ValbyACO_ICC2[[#This Row],[2022 Member Months]])</f>
        <v>NA</v>
      </c>
      <c r="Z70" s="118" t="str">
        <f>IF(ValbyACO_ICC2[[#This Row],[2022 Member Months]]=0,"NA",SUMIFS(ACOAETME2022[[#All],[Claims: Other]],ACOAETME2022[[#All],[Insurance Category Code]], $E$62,ACOAETME2022[[#All],[ACO/AE or Insurer Overall Organization ID]],ValbyACO_ICC2[[#This Row],[Org ID]])/ValbyACO_ICC2[[#This Row],[2022 Member Months]])</f>
        <v>NA</v>
      </c>
      <c r="AA70" s="118" t="str">
        <f>IF(ValbyACO_ICC2[[#This Row],[2022 Member Months]]=0,"NA",SUMIFS(ACOAETME2022[[#All],[TOTAL Non-Truncated Unadjusted Claims Expenses]],ACOAETME2022[[#All],[Insurance Category Code]], $E$62,ACOAETME2022[[#All],[ACO/AE or Insurer Overall Organization ID]],ValbyACO_ICC2[[#This Row],[Org ID]])/ValbyACO_ICC2[[#This Row],[2022 Member Months]])</f>
        <v>NA</v>
      </c>
      <c r="AB70" s="118" t="str">
        <f>IF(ValbyACO_ICC2[[#This Row],[2022 Member Months]]=0,"NA",SUMIFS(ACOAETME2022[[#All],[TOTAL Truncated Unadjusted Expenses (A20+A21)]],ACOAETME2022[[#All],[Insurance Category Code]], $E$62,ACOAETME2022[[#All],[ACO/AE or Insurer Overall Organization ID]],ValbyACO_ICC2[[#This Row],[Org ID]])/ValbyACO_ICC2[[#This Row],[2022 Member Months]])</f>
        <v>NA</v>
      </c>
      <c r="AC70" s="118" t="str">
        <f>IF(ValbyACO_ICC2[[#This Row],[2022 Member Months]]=0,"NA",SUMIFS(ACOAETME2022[[#All],[TOTAL Non-Claims Expenses]],ACOAETME2022[[#All],[Insurance Category Code]], $E$62,ACOAETME2022[[#All],[ACO/AE or Insurer Overall Organization ID]],ValbyACO_ICC2[[#This Row],[Org ID]])/ValbyACO_ICC2[[#This Row],[2022 Member Months]])</f>
        <v>NA</v>
      </c>
      <c r="AD70" s="268" t="str">
        <f>IF(ValbyACO_ICC2[[#This Row],[2022 Member Months]]=0,"NA",SUMIFS(ACOAETME2022[[#All],[TOTAL Non-Truncated Unadjusted Expenses 
(A19+A21)]],ACOAETME2022[[#All],[Insurance Category Code]], $E$62,ACOAETME2022[[#All],[ACO/AE or Insurer Overall Organization ID]],ValbyACO_ICC2[[#This Row],[Org ID]])/ValbyACO_ICC2[[#This Row],[2022 Member Months]])</f>
        <v>NA</v>
      </c>
      <c r="AE70" s="119" t="str">
        <f>IF(ValbyACO_ICC2[[#This Row],[2022 Member Months]]=0,"NA",SUMIFS(ACOAETME2022[[#All],[TOTAL Truncated Unadjusted Expenses (A20+A21)]],ACOAETME2022[[#All],[Insurance Category Code]],$E$62,ACOAETME2022[[#All],[ACO/AE or Insurer Overall Organization ID]],ValbyACO_ICC2[[#This Row],[Org ID]])/ValbyACO_ICC2[[#This Row],[2022 Member Months]])</f>
        <v>NA</v>
      </c>
      <c r="AF70" s="161" t="str">
        <f>IFERROR(IF(ValbyACO_ICC2[[#This Row],[2021 Member Months]]=0,"NA",ValbyACO_ICC2[[#This Row],[2022 Member Months]]/ValbyACO_ICC2[[#This Row],[2021 Member Months]]-1),"NA")</f>
        <v>NA</v>
      </c>
      <c r="AG70" s="161" t="str">
        <f>IFERROR(IF(ValbyACO_ICC2[[#This Row],[2021 Member Months]]=0,"NA",ValbyACO_ICC2[[#This Row],[2022 Claims: Hospital Inpatient]]/ValbyACO_ICC2[[#This Row],[2021 Claims: Hospital Inpatient]]-1),"NA")</f>
        <v>NA</v>
      </c>
      <c r="AH70" s="162" t="str">
        <f>IFERROR(IF(ValbyACO_ICC2[[#This Row],[2021 Member Months]]=0,"NA",ValbyACO_ICC2[[#This Row],[2022 Claims: Hospital Outpatient]]/ValbyACO_ICC2[[#This Row],[2021 Claims: Hospital Outpatient]]-1),"NA")</f>
        <v>NA</v>
      </c>
      <c r="AI70" s="162" t="str">
        <f>IFERROR(IF(ValbyACO_ICC2[[#This Row],[2021 Member Months]]=0,"NA",ValbyACO_ICC2[[#This Row],[2022 Claims: Professional, Primary Care]]/ValbyACO_ICC2[[#This Row],[2021 Claims: Professional, Primary Care]]-1),"NA")</f>
        <v>NA</v>
      </c>
      <c r="AJ70" s="162" t="str">
        <f>IFERROR(IF(ValbyACO_ICC2[[#This Row],[2021 Member Months]]=0,"NA",ValbyACO_ICC2[[#This Row],[2022 Claims: Professional, Specialty Care]]/ValbyACO_ICC2[[#This Row],[2021 Claims: Professional, Specialty Care]]-1),"NA")</f>
        <v>NA</v>
      </c>
      <c r="AK70" s="162" t="str">
        <f>IFERROR(IF(ValbyACO_ICC2[[#This Row],[2021 Member Months]]=0,"NA", ValbyACO_ICC2[[#This Row],[2022 Claims: Professional Other]]/ValbyACO_ICC2[[#This Row],[2021 Claims: Professional Other]]-1),"NA")</f>
        <v>NA</v>
      </c>
      <c r="AL70" s="162" t="str">
        <f>IFERROR(IF(ValbyACO_ICC2[[#This Row],[2021 Member Months]]=0,"NA",ValbyACO_ICC2[[#This Row],[2022 Claims: Pharmacy (Gross of Retail Pharmacy Rebates)]]/ValbyACO_ICC2[[#This Row],[2021 Claims: Pharmacy (Gross of  Rebates)]]-1),"NA")</f>
        <v>NA</v>
      </c>
      <c r="AM70" s="162" t="str">
        <f>IFERROR(IF(ValbyACO_ICC2[[#This Row],[2021 Member Months]]=0,"NA",ValbyACO_ICC2[[#This Row],[2022 Claims: Long-term Care]]/ValbyACO_ICC2[[#This Row],[2021 Claims: Long-term Care]]-1),"NA")</f>
        <v>NA</v>
      </c>
      <c r="AN70" s="162" t="str">
        <f>IFERROR(IF(ValbyACO_ICC2[[#This Row],[2021 Member Months]]=0,"NA",ValbyACO_ICC2[[#This Row],[2022 Claims: Other]]/ValbyACO_ICC2[[#This Row],[2021 Claims: Other]]-1),"NA")</f>
        <v>NA</v>
      </c>
      <c r="AO70" s="163" t="str">
        <f>IFERROR(IF(ValbyACO_ICC2[[#This Row],[2021 Member Months]]=0,"NA",ValbyACO_ICC2[[#This Row],[2022 TOTAL Non-Truncated Claims Expenses]]/ValbyACO_ICC2[[#This Row],[2021 TOTAL Non-Truncated Claims Expenses]]-1),"NA")</f>
        <v>NA</v>
      </c>
      <c r="AP70" s="163" t="str">
        <f>IFERROR(IF(ValbyACO_ICC2[[#This Row],[2021 Member Months]]=0,"NA",ValbyACO_ICC2[[#This Row],[2022 TOTAL Truncated Claims Expenses]]/ValbyACO_ICC2[[#This Row],[2021 TOTAL Truncated Claims Expenses]]-1),"NA")</f>
        <v>NA</v>
      </c>
      <c r="AQ70" s="163" t="str">
        <f>IFERROR(IF(ValbyACO_ICC2[[#This Row],[2021 Member Months]]=0,"NA",ValbyACO_ICC2[[#This Row],[2022 TOTAL Non-Claims Expenses]]/ValbyACO_ICC2[[#This Row],[2021 TOTAL Non-Claims Expenses]]-1),"NA")</f>
        <v>NA</v>
      </c>
      <c r="AR70" s="163" t="str">
        <f>IFERROR(IF(ValbyACO_ICC2[[#This Row],[2021 Member Months]]=0,"NA",ValbyACO_ICC2[[#This Row],[2022 TOTAL Non-Truncated Total Expenses]]/ValbyACO_ICC2[[#This Row],[2021 TOTAL Non-Truncated Total Expenses]]-1),"NA")</f>
        <v>NA</v>
      </c>
      <c r="AS70" s="163" t="str">
        <f>IFERROR(IF(ValbyACO_ICC2[[#This Row],[2021 Member Months]]=0,"NA",ValbyACO_ICC2[[#This Row],[2022 TOTAL Truncated Total Expenses]]/ValbyACO_ICC2[[#This Row],[2021 TOTAL Truncated Total Expenses]]-1),"NA")</f>
        <v>NA</v>
      </c>
    </row>
    <row r="71" spans="1:45" x14ac:dyDescent="0.35">
      <c r="A71" s="129"/>
      <c r="B71" s="250">
        <v>108</v>
      </c>
      <c r="C71" s="291" t="s">
        <v>508</v>
      </c>
      <c r="D71" s="272">
        <f>SUMIFS(ACOAETME2021[[#All],[Member Months]], ACOAETME2021[[#All],[Insurance Category Code]], $E$62, ACOAETME2021[[#All],[ACO/AE or Insurer Overall Organization ID]], ValbyACO_ICC2[[#This Row],[Org ID]])</f>
        <v>0</v>
      </c>
      <c r="E71" s="268" t="str">
        <f>IFERROR(IF(ValbyACO_ICC2[[#This Row],[2021 Member Months]]=0,"NA",SUMIFS(ACOAETME2021[[#All],[Claims: Hospital Inpatient]], ACOAETME2021[[#All],[Insurance Category Code]], $E$62, ACOAETME2021[[#All],[ACO/AE or Insurer Overall Organization ID]], ValbyACO_ICC2[[#This Row],[Org ID]])/ValbyACO_ICC2[[#This Row],[2021 Member Months]]), "NA")</f>
        <v>NA</v>
      </c>
      <c r="F71" s="268" t="str">
        <f>IFERROR(IF(ValbyACO_ICC2[[#This Row],[2021 Member Months]]=0,"NA",SUMIFS(ACOAETME2021[[#All],[Claims: Hospital Outpatient]], ACOAETME2021[[#All],[Insurance Category Code]], $E$62, ACOAETME2021[[#All],[ACO/AE or Insurer Overall Organization ID]], ValbyACO_ICC2[[#This Row],[Org ID]])/ValbyACO_ICC2[[#This Row],[2021 Member Months]]), "NA")</f>
        <v>NA</v>
      </c>
      <c r="G71" s="268" t="str">
        <f>IFERROR(IF(ValbyACO_ICC2[[#This Row],[2021 Member Months]]=0,"NA",SUMIFS(ACOAETME2021[[#All],[Claims: Professional, Primary Care]], ACOAETME2021[[#All],[Insurance Category Code]], $E$62, ACOAETME2021[[#All],[ACO/AE or Insurer Overall Organization ID]], ValbyACO_ICC2[[#This Row],[Org ID]])/ValbyACO_ICC2[[#This Row],[2021 Member Months]]), "NA")</f>
        <v>NA</v>
      </c>
      <c r="H71" s="268" t="str">
        <f>IFERROR(IF(ValbyACO_ICC2[[#This Row],[2021 Member Months]]=0,"NA",SUMIFS(ACOAETME2021[[#All],[Claims: Professional, Specialty Care]], ACOAETME2021[[#All],[Insurance Category Code]], $E$62, ACOAETME2021[[#All],[ACO/AE or Insurer Overall Organization ID]], ValbyACO_ICC2[[#This Row],[Org ID]])/ValbyACO_ICC2[[#This Row],[2021 Member Months]]), "NA")</f>
        <v>NA</v>
      </c>
      <c r="I71" s="268" t="str">
        <f>IFERROR(IF(ValbyACO_ICC2[[#This Row],[2021 Member Months]]=0,"NA",SUMIFS(ACOAETME2021[[#All],[Claims: Professional Other]], ACOAETME2021[[#All],[Insurance Category Code]], $E$62, ACOAETME2021[[#All],[ACO/AE or Insurer Overall Organization ID]], ValbyACO_ICC2[[#This Row],[Org ID]])/ValbyACO_ICC2[[#This Row],[2021 Member Months]]), "NA")</f>
        <v>NA</v>
      </c>
      <c r="J71" s="268" t="str">
        <f>IFERROR(IF(ValbyACO_ICC2[[#This Row],[2021 Member Months]]=0,"NA",SUMIFS(ACOAETME2021[[#All],[Claims: Pharmacy]], ACOAETME2021[[#All],[Insurance Category Code]], $E$62, ACOAETME2021[[#All],[ACO/AE or Insurer Overall Organization ID]], ValbyACO_ICC2[[#This Row],[Org ID]])/ValbyACO_ICC2[[#This Row],[2021 Member Months]]), "NA")</f>
        <v>NA</v>
      </c>
      <c r="K71" s="268" t="str">
        <f>IFERROR(IF(ValbyACO_ICC2[[#This Row],[2021 Member Months]]=0,"NA",SUMIFS(ACOAETME2021[[#All],[Claims: Long-Term Care]], ACOAETME2021[[#All],[Insurance Category Code]], $E$62, ACOAETME2021[[#All],[ACO/AE or Insurer Overall Organization ID]], ValbyACO_ICC2[[#This Row],[Org ID]])/ValbyACO_ICC2[[#This Row],[2021 Member Months]]), "NA")</f>
        <v>NA</v>
      </c>
      <c r="L71" s="268" t="str">
        <f>IFERROR(IF(ValbyACO_ICC2[[#This Row],[2021 Member Months]]=0,"NA",SUMIFS(ACOAETME2021[[#All],[Claims: Other]], ACOAETME2021[[#All],[Insurance Category Code]], $E$62, ACOAETME2021[[#All],[ACO/AE or Insurer Overall Organization ID]], ValbyACO_ICC2[[#This Row],[Org ID]])/ValbyACO_ICC2[[#This Row],[2021 Member Months]]), "NA")</f>
        <v>NA</v>
      </c>
      <c r="M71" s="118" t="str">
        <f>IF(ValbyACO_ICC2[[#This Row],[2021 Member Months]]=0,"NA",SUMIFS(ACOAETME2021[[#All],[TOTAL Non-Truncated Unadjusted Claims Expenses]], ACOAETME2021[[#All],[Insurance Category Code]], $E$62, ACOAETME2021[[#All],[ACO/AE or Insurer Overall Organization ID]], ValbyACO_ICC2[[#This Row],[Org ID]])/ValbyACO_ICC2[[#This Row],[2021 Member Months]])</f>
        <v>NA</v>
      </c>
      <c r="N71" s="118" t="str">
        <f>IF(ValbyACO_ICC2[[#This Row],[2021 Member Months]]=0,"NA",SUMIFS(ACOAETME2021[[#All],[TOTAL Truncated Unadjusted Claims Expenses (A19 - A17)]], ACOAETME2021[[#All],[Insurance Category Code]], $E$62, ACOAETME2021[[#All],[ACO/AE or Insurer Overall Organization ID]], ValbyACO_ICC2[[#This Row],[Org ID]])/ValbyACO_ICC2[[#This Row],[2021 Member Months]])</f>
        <v>NA</v>
      </c>
      <c r="O71" s="118" t="str">
        <f>IF(ValbyACO_ICC2[[#This Row],[2021 Member Months]]=0,"NA",SUMIFS(ACOAETME2021[[#All],[TOTAL Non-Claims Expenses]], ACOAETME2021[[#All],[Insurance Category Code]], $E$62, ACOAETME2021[[#All],[ACO/AE or Insurer Overall Organization ID]], ValbyACO_ICC2[[#This Row],[Org ID]])/ValbyACO_ICC2[[#This Row],[2021 Member Months]])</f>
        <v>NA</v>
      </c>
      <c r="P71" s="268" t="str">
        <f>IF(ValbyACO_ICC2[[#This Row],[2021 Member Months]]=0, "NA", SUMIFS(ACOAETME2021[[#All],[TOTAL Non-Truncated Unadjusted Expenses 
(A19+A21)]], ACOAETME2021[[#All],[Insurance Category Code]], $E$62, ACOAETME2021[[#All],[ACO/AE or Insurer Overall Organization ID]], ValbyACO_ICC2[[#This Row],[Org ID]])/ValbyACO_ICC2[[#This Row],[2021 Member Months]])</f>
        <v>NA</v>
      </c>
      <c r="Q71" s="119" t="str">
        <f>IF(ValbyACO_ICC2[[#This Row],[2021 Member Months]]=0, "NA", SUMIFS(ACOAETME2021[[#All],[TOTAL Truncated Unadjusted Expenses (A20+A21)]], ACOAETME2021[[#All],[Insurance Category Code]], $E$62, ACOAETME2021[[#All],[ACO/AE or Insurer Overall Organization ID]], ValbyACO_ICC2[[#This Row],[Org ID]])/ValbyACO_ICC2[[#This Row],[2021 Member Months]])</f>
        <v>NA</v>
      </c>
      <c r="R71" s="272">
        <f>SUMIFS(ACOAETME2022[[#All],[Member Months]],ACOAETME2022[[#All],[Insurance Category Code]], $E$62,ACOAETME2022[[#All],[ACO/AE or Insurer Overall Organization ID]],ValbyACO_ICC2[[#This Row],[Org ID]])</f>
        <v>0</v>
      </c>
      <c r="S71" s="118" t="str">
        <f>IF(ValbyACO_ICC2[[#This Row],[2022 Member Months]]=0,"NA",SUMIFS(ACOAETME2022[[#All],[Claims: Hospital Inpatient]],ACOAETME2022[[#All],[Insurance Category Code]], $E$62,ACOAETME2022[[#All],[ACO/AE or Insurer Overall Organization ID]],ValbyACO_ICC2[[#This Row],[Org ID]])/ValbyACO_ICC2[[#This Row],[2022 Member Months]])</f>
        <v>NA</v>
      </c>
      <c r="T71" s="118" t="str">
        <f>IF(ValbyACO_ICC2[[#This Row],[2022 Member Months]]=0,"NA",SUMIFS(ACOAETME2022[[#All],[Claims: Hospital Outpatient]],ACOAETME2022[[#All],[Insurance Category Code]], $E$62,ACOAETME2022[[#All],[ACO/AE or Insurer Overall Organization ID]],ValbyACO_ICC2[[#This Row],[Org ID]])/ValbyACO_ICC2[[#This Row],[2022 Member Months]])</f>
        <v>NA</v>
      </c>
      <c r="U71" s="118" t="str">
        <f>IF(ValbyACO_ICC2[[#This Row],[2022 Member Months]]=0,"NA",SUMIFS(ACOAETME2022[[#All],[Claims: Professional, Primary Care]],ACOAETME2022[[#All],[Insurance Category Code]], $E$62,ACOAETME2022[[#All],[ACO/AE or Insurer Overall Organization ID]],ValbyACO_ICC2[[#This Row],[Org ID]])/ValbyACO_ICC2[[#This Row],[2022 Member Months]])</f>
        <v>NA</v>
      </c>
      <c r="V71" s="118" t="str">
        <f>IF(ValbyACO_ICC2[[#This Row],[2022 Member Months]]=0,"NA",SUMIFS(ACOAETME2022[[#All],[Claims: Professional, Specialty Care]],ACOAETME2022[[#All],[Insurance Category Code]], $E$62,ACOAETME2022[[#All],[ACO/AE or Insurer Overall Organization ID]],ValbyACO_ICC2[[#This Row],[Org ID]])/ValbyACO_ICC2[[#This Row],[2022 Member Months]])</f>
        <v>NA</v>
      </c>
      <c r="W71" s="118" t="str">
        <f>IF(ValbyACO_ICC2[[#This Row],[2022 Member Months]]=0,"NA",SUMIFS(ACOAETME2022[[#All],[Claims: Professional Other]],ACOAETME2022[[#All],[Insurance Category Code]], $E$62,ACOAETME2022[[#All],[ACO/AE or Insurer Overall Organization ID]],ValbyACO_ICC2[[#This Row],[Org ID]])/ValbyACO_ICC2[[#This Row],[2022 Member Months]])</f>
        <v>NA</v>
      </c>
      <c r="X71" s="118" t="str">
        <f>IF(ValbyACO_ICC2[[#This Row],[2022 Member Months]]=0,"NA",SUMIFS(ACOAETME2022[[#All],[Claims: Pharmacy]],ACOAETME2022[[#All],[Insurance Category Code]], $E$62,ACOAETME2022[[#All],[ACO/AE or Insurer Overall Organization ID]],ValbyACO_ICC2[[#This Row],[Org ID]])/ValbyACO_ICC2[[#This Row],[2022 Member Months]])</f>
        <v>NA</v>
      </c>
      <c r="Y71" s="118" t="str">
        <f>IF(ValbyACO_ICC2[[#This Row],[2022 Member Months]]=0,"NA",SUMIFS(ACOAETME2022[[#All],[Claims: Long-Term Care]],ACOAETME2022[[#All],[Insurance Category Code]], $E$62,ACOAETME2022[[#All],[ACO/AE or Insurer Overall Organization ID]],ValbyACO_ICC2[[#This Row],[Org ID]])/ValbyACO_ICC2[[#This Row],[2022 Member Months]])</f>
        <v>NA</v>
      </c>
      <c r="Z71" s="118" t="str">
        <f>IF(ValbyACO_ICC2[[#This Row],[2022 Member Months]]=0,"NA",SUMIFS(ACOAETME2022[[#All],[Claims: Other]],ACOAETME2022[[#All],[Insurance Category Code]], $E$62,ACOAETME2022[[#All],[ACO/AE or Insurer Overall Organization ID]],ValbyACO_ICC2[[#This Row],[Org ID]])/ValbyACO_ICC2[[#This Row],[2022 Member Months]])</f>
        <v>NA</v>
      </c>
      <c r="AA71" s="118" t="str">
        <f>IF(ValbyACO_ICC2[[#This Row],[2022 Member Months]]=0,"NA",SUMIFS(ACOAETME2022[[#All],[TOTAL Non-Truncated Unadjusted Claims Expenses]],ACOAETME2022[[#All],[Insurance Category Code]], $E$62,ACOAETME2022[[#All],[ACO/AE or Insurer Overall Organization ID]],ValbyACO_ICC2[[#This Row],[Org ID]])/ValbyACO_ICC2[[#This Row],[2022 Member Months]])</f>
        <v>NA</v>
      </c>
      <c r="AB71" s="118" t="str">
        <f>IF(ValbyACO_ICC2[[#This Row],[2022 Member Months]]=0,"NA",SUMIFS(ACOAETME2022[[#All],[TOTAL Truncated Unadjusted Expenses (A20+A21)]],ACOAETME2022[[#All],[Insurance Category Code]], $E$62,ACOAETME2022[[#All],[ACO/AE or Insurer Overall Organization ID]],ValbyACO_ICC2[[#This Row],[Org ID]])/ValbyACO_ICC2[[#This Row],[2022 Member Months]])</f>
        <v>NA</v>
      </c>
      <c r="AC71" s="118" t="str">
        <f>IF(ValbyACO_ICC2[[#This Row],[2022 Member Months]]=0,"NA",SUMIFS(ACOAETME2022[[#All],[TOTAL Non-Claims Expenses]],ACOAETME2022[[#All],[Insurance Category Code]], $E$62,ACOAETME2022[[#All],[ACO/AE or Insurer Overall Organization ID]],ValbyACO_ICC2[[#This Row],[Org ID]])/ValbyACO_ICC2[[#This Row],[2022 Member Months]])</f>
        <v>NA</v>
      </c>
      <c r="AD71" s="268" t="str">
        <f>IF(ValbyACO_ICC2[[#This Row],[2022 Member Months]]=0,"NA",SUMIFS(ACOAETME2022[[#All],[TOTAL Non-Truncated Unadjusted Expenses 
(A19+A21)]],ACOAETME2022[[#All],[Insurance Category Code]], $E$62,ACOAETME2022[[#All],[ACO/AE or Insurer Overall Organization ID]],ValbyACO_ICC2[[#This Row],[Org ID]])/ValbyACO_ICC2[[#This Row],[2022 Member Months]])</f>
        <v>NA</v>
      </c>
      <c r="AE71" s="119" t="str">
        <f>IF(ValbyACO_ICC2[[#This Row],[2022 Member Months]]=0,"NA",SUMIFS(ACOAETME2022[[#All],[TOTAL Truncated Unadjusted Expenses (A20+A21)]],ACOAETME2022[[#All],[Insurance Category Code]],$E$62,ACOAETME2022[[#All],[ACO/AE or Insurer Overall Organization ID]],ValbyACO_ICC2[[#This Row],[Org ID]])/ValbyACO_ICC2[[#This Row],[2022 Member Months]])</f>
        <v>NA</v>
      </c>
      <c r="AF71" s="161" t="str">
        <f>IFERROR(IF(ValbyACO_ICC2[[#This Row],[2021 Member Months]]=0,"NA",ValbyACO_ICC2[[#This Row],[2022 Member Months]]/ValbyACO_ICC2[[#This Row],[2021 Member Months]]-1),"NA")</f>
        <v>NA</v>
      </c>
      <c r="AG71" s="161" t="str">
        <f>IFERROR(IF(ValbyACO_ICC2[[#This Row],[2021 Member Months]]=0,"NA",ValbyACO_ICC2[[#This Row],[2022 Claims: Hospital Inpatient]]/ValbyACO_ICC2[[#This Row],[2021 Claims: Hospital Inpatient]]-1),"NA")</f>
        <v>NA</v>
      </c>
      <c r="AH71" s="162" t="str">
        <f>IFERROR(IF(ValbyACO_ICC2[[#This Row],[2021 Member Months]]=0,"NA",ValbyACO_ICC2[[#This Row],[2022 Claims: Hospital Outpatient]]/ValbyACO_ICC2[[#This Row],[2021 Claims: Hospital Outpatient]]-1),"NA")</f>
        <v>NA</v>
      </c>
      <c r="AI71" s="162" t="str">
        <f>IFERROR(IF(ValbyACO_ICC2[[#This Row],[2021 Member Months]]=0,"NA",ValbyACO_ICC2[[#This Row],[2022 Claims: Professional, Primary Care]]/ValbyACO_ICC2[[#This Row],[2021 Claims: Professional, Primary Care]]-1),"NA")</f>
        <v>NA</v>
      </c>
      <c r="AJ71" s="162" t="str">
        <f>IFERROR(IF(ValbyACO_ICC2[[#This Row],[2021 Member Months]]=0,"NA",ValbyACO_ICC2[[#This Row],[2022 Claims: Professional, Specialty Care]]/ValbyACO_ICC2[[#This Row],[2021 Claims: Professional, Specialty Care]]-1),"NA")</f>
        <v>NA</v>
      </c>
      <c r="AK71" s="162" t="str">
        <f>IFERROR(IF(ValbyACO_ICC2[[#This Row],[2021 Member Months]]=0,"NA", ValbyACO_ICC2[[#This Row],[2022 Claims: Professional Other]]/ValbyACO_ICC2[[#This Row],[2021 Claims: Professional Other]]-1),"NA")</f>
        <v>NA</v>
      </c>
      <c r="AL71" s="162" t="str">
        <f>IFERROR(IF(ValbyACO_ICC2[[#This Row],[2021 Member Months]]=0,"NA",ValbyACO_ICC2[[#This Row],[2022 Claims: Pharmacy (Gross of Retail Pharmacy Rebates)]]/ValbyACO_ICC2[[#This Row],[2021 Claims: Pharmacy (Gross of  Rebates)]]-1),"NA")</f>
        <v>NA</v>
      </c>
      <c r="AM71" s="162" t="str">
        <f>IFERROR(IF(ValbyACO_ICC2[[#This Row],[2021 Member Months]]=0,"NA",ValbyACO_ICC2[[#This Row],[2022 Claims: Long-term Care]]/ValbyACO_ICC2[[#This Row],[2021 Claims: Long-term Care]]-1),"NA")</f>
        <v>NA</v>
      </c>
      <c r="AN71" s="162" t="str">
        <f>IFERROR(IF(ValbyACO_ICC2[[#This Row],[2021 Member Months]]=0,"NA",ValbyACO_ICC2[[#This Row],[2022 Claims: Other]]/ValbyACO_ICC2[[#This Row],[2021 Claims: Other]]-1),"NA")</f>
        <v>NA</v>
      </c>
      <c r="AO71" s="163" t="str">
        <f>IFERROR(IF(ValbyACO_ICC2[[#This Row],[2021 Member Months]]=0,"NA",ValbyACO_ICC2[[#This Row],[2022 TOTAL Non-Truncated Claims Expenses]]/ValbyACO_ICC2[[#This Row],[2021 TOTAL Non-Truncated Claims Expenses]]-1),"NA")</f>
        <v>NA</v>
      </c>
      <c r="AP71" s="163" t="str">
        <f>IFERROR(IF(ValbyACO_ICC2[[#This Row],[2021 Member Months]]=0,"NA",ValbyACO_ICC2[[#This Row],[2022 TOTAL Truncated Claims Expenses]]/ValbyACO_ICC2[[#This Row],[2021 TOTAL Truncated Claims Expenses]]-1),"NA")</f>
        <v>NA</v>
      </c>
      <c r="AQ71" s="163" t="str">
        <f>IFERROR(IF(ValbyACO_ICC2[[#This Row],[2021 Member Months]]=0,"NA",ValbyACO_ICC2[[#This Row],[2022 TOTAL Non-Claims Expenses]]/ValbyACO_ICC2[[#This Row],[2021 TOTAL Non-Claims Expenses]]-1),"NA")</f>
        <v>NA</v>
      </c>
      <c r="AR71" s="163" t="str">
        <f>IFERROR(IF(ValbyACO_ICC2[[#This Row],[2021 Member Months]]=0,"NA",ValbyACO_ICC2[[#This Row],[2022 TOTAL Non-Truncated Total Expenses]]/ValbyACO_ICC2[[#This Row],[2021 TOTAL Non-Truncated Total Expenses]]-1),"NA")</f>
        <v>NA</v>
      </c>
      <c r="AS71" s="163" t="str">
        <f>IFERROR(IF(ValbyACO_ICC2[[#This Row],[2021 Member Months]]=0,"NA",ValbyACO_ICC2[[#This Row],[2022 TOTAL Truncated Total Expenses]]/ValbyACO_ICC2[[#This Row],[2021 TOTAL Truncated Total Expenses]]-1),"NA")</f>
        <v>NA</v>
      </c>
    </row>
    <row r="72" spans="1:45" x14ac:dyDescent="0.35">
      <c r="A72" s="129"/>
      <c r="B72" s="250">
        <v>999</v>
      </c>
      <c r="C72" s="291" t="s">
        <v>172</v>
      </c>
      <c r="D72" s="272">
        <f>SUMIFS(ACOAETME2021[[#All],[Member Months]], ACOAETME2021[[#All],[Insurance Category Code]], $E$62, ACOAETME2021[[#All],[ACO/AE or Insurer Overall Organization ID]], ValbyACO_ICC2[[#This Row],[Org ID]])</f>
        <v>0</v>
      </c>
      <c r="E72" s="268" t="str">
        <f>IFERROR(IF(ValbyACO_ICC2[[#This Row],[2021 Member Months]]=0,"NA",SUMIFS(ACOAETME2021[[#All],[Claims: Hospital Inpatient]], ACOAETME2021[[#All],[Insurance Category Code]], $E$62, ACOAETME2021[[#All],[ACO/AE or Insurer Overall Organization ID]], ValbyACO_ICC2[[#This Row],[Org ID]])/ValbyACO_ICC2[[#This Row],[2021 Member Months]]), "NA")</f>
        <v>NA</v>
      </c>
      <c r="F72" s="268" t="str">
        <f>IFERROR(IF(ValbyACO_ICC2[[#This Row],[2021 Member Months]]=0,"NA",SUMIFS(ACOAETME2021[[#All],[Claims: Hospital Outpatient]], ACOAETME2021[[#All],[Insurance Category Code]], $E$62, ACOAETME2021[[#All],[ACO/AE or Insurer Overall Organization ID]], ValbyACO_ICC2[[#This Row],[Org ID]])/ValbyACO_ICC2[[#This Row],[2021 Member Months]]), "NA")</f>
        <v>NA</v>
      </c>
      <c r="G72" s="268" t="str">
        <f>IFERROR(IF(ValbyACO_ICC2[[#This Row],[2021 Member Months]]=0,"NA",SUMIFS(ACOAETME2021[[#All],[Claims: Professional, Primary Care]], ACOAETME2021[[#All],[Insurance Category Code]], $E$62, ACOAETME2021[[#All],[ACO/AE or Insurer Overall Organization ID]], ValbyACO_ICC2[[#This Row],[Org ID]])/ValbyACO_ICC2[[#This Row],[2021 Member Months]]), "NA")</f>
        <v>NA</v>
      </c>
      <c r="H72" s="268" t="str">
        <f>IFERROR(IF(ValbyACO_ICC2[[#This Row],[2021 Member Months]]=0,"NA",SUMIFS(ACOAETME2021[[#All],[Claims: Professional, Specialty Care]], ACOAETME2021[[#All],[Insurance Category Code]], $E$62, ACOAETME2021[[#All],[ACO/AE or Insurer Overall Organization ID]], ValbyACO_ICC2[[#This Row],[Org ID]])/ValbyACO_ICC2[[#This Row],[2021 Member Months]]), "NA")</f>
        <v>NA</v>
      </c>
      <c r="I72" s="268" t="str">
        <f>IFERROR(IF(ValbyACO_ICC2[[#This Row],[2021 Member Months]]=0,"NA",SUMIFS(ACOAETME2021[[#All],[Claims: Professional Other]], ACOAETME2021[[#All],[Insurance Category Code]], $E$62, ACOAETME2021[[#All],[ACO/AE or Insurer Overall Organization ID]], ValbyACO_ICC2[[#This Row],[Org ID]])/ValbyACO_ICC2[[#This Row],[2021 Member Months]]), "NA")</f>
        <v>NA</v>
      </c>
      <c r="J72" s="268" t="str">
        <f>IFERROR(IF(ValbyACO_ICC2[[#This Row],[2021 Member Months]]=0,"NA",SUMIFS(ACOAETME2021[[#All],[Claims: Pharmacy]], ACOAETME2021[[#All],[Insurance Category Code]], $E$62, ACOAETME2021[[#All],[ACO/AE or Insurer Overall Organization ID]], ValbyACO_ICC2[[#This Row],[Org ID]])/ValbyACO_ICC2[[#This Row],[2021 Member Months]]), "NA")</f>
        <v>NA</v>
      </c>
      <c r="K72" s="268" t="str">
        <f>IFERROR(IF(ValbyACO_ICC2[[#This Row],[2021 Member Months]]=0,"NA",SUMIFS(ACOAETME2021[[#All],[Claims: Long-Term Care]], ACOAETME2021[[#All],[Insurance Category Code]], $E$62, ACOAETME2021[[#All],[ACO/AE or Insurer Overall Organization ID]], ValbyACO_ICC2[[#This Row],[Org ID]])/ValbyACO_ICC2[[#This Row],[2021 Member Months]]), "NA")</f>
        <v>NA</v>
      </c>
      <c r="L72" s="268" t="str">
        <f>IFERROR(IF(ValbyACO_ICC2[[#This Row],[2021 Member Months]]=0,"NA",SUMIFS(ACOAETME2021[[#All],[Claims: Other]], ACOAETME2021[[#All],[Insurance Category Code]], $E$62, ACOAETME2021[[#All],[ACO/AE or Insurer Overall Organization ID]], ValbyACO_ICC2[[#This Row],[Org ID]])/ValbyACO_ICC2[[#This Row],[2021 Member Months]]), "NA")</f>
        <v>NA</v>
      </c>
      <c r="M72" s="118" t="str">
        <f>IF(ValbyACO_ICC2[[#This Row],[2021 Member Months]]=0,"NA",SUMIFS(ACOAETME2021[[#All],[TOTAL Non-Truncated Unadjusted Claims Expenses]], ACOAETME2021[[#All],[Insurance Category Code]], $E$62, ACOAETME2021[[#All],[ACO/AE or Insurer Overall Organization ID]], ValbyACO_ICC2[[#This Row],[Org ID]])/ValbyACO_ICC2[[#This Row],[2021 Member Months]])</f>
        <v>NA</v>
      </c>
      <c r="N72" s="118" t="str">
        <f>IF(ValbyACO_ICC2[[#This Row],[2021 Member Months]]=0,"NA",SUMIFS(ACOAETME2021[[#All],[TOTAL Truncated Unadjusted Claims Expenses (A19 - A17)]], ACOAETME2021[[#All],[Insurance Category Code]], $E$62, ACOAETME2021[[#All],[ACO/AE or Insurer Overall Organization ID]], ValbyACO_ICC2[[#This Row],[Org ID]])/ValbyACO_ICC2[[#This Row],[2021 Member Months]])</f>
        <v>NA</v>
      </c>
      <c r="O72" s="118" t="str">
        <f>IF(ValbyACO_ICC2[[#This Row],[2021 Member Months]]=0,"NA",SUMIFS(ACOAETME2021[[#All],[TOTAL Non-Claims Expenses]], ACOAETME2021[[#All],[Insurance Category Code]], $E$62, ACOAETME2021[[#All],[ACO/AE or Insurer Overall Organization ID]], ValbyACO_ICC2[[#This Row],[Org ID]])/ValbyACO_ICC2[[#This Row],[2021 Member Months]])</f>
        <v>NA</v>
      </c>
      <c r="P72" s="268" t="str">
        <f>IF(ValbyACO_ICC2[[#This Row],[2021 Member Months]]=0, "NA", SUMIFS(ACOAETME2021[[#All],[TOTAL Non-Truncated Unadjusted Expenses 
(A19+A21)]], ACOAETME2021[[#All],[Insurance Category Code]], $E$62, ACOAETME2021[[#All],[ACO/AE or Insurer Overall Organization ID]], ValbyACO_ICC2[[#This Row],[Org ID]])/ValbyACO_ICC2[[#This Row],[2021 Member Months]])</f>
        <v>NA</v>
      </c>
      <c r="Q72" s="119" t="str">
        <f>IF(ValbyACO_ICC2[[#This Row],[2021 Member Months]]=0, "NA", SUMIFS(ACOAETME2021[[#All],[TOTAL Truncated Unadjusted Expenses (A20+A21)]], ACOAETME2021[[#All],[Insurance Category Code]], $E$62, ACOAETME2021[[#All],[ACO/AE or Insurer Overall Organization ID]], ValbyACO_ICC2[[#This Row],[Org ID]])/ValbyACO_ICC2[[#This Row],[2021 Member Months]])</f>
        <v>NA</v>
      </c>
      <c r="R72" s="272">
        <f>SUMIFS(ACOAETME2022[[#All],[Member Months]],ACOAETME2022[[#All],[Insurance Category Code]], $E$62,ACOAETME2022[[#All],[ACO/AE or Insurer Overall Organization ID]],ValbyACO_ICC2[[#This Row],[Org ID]])</f>
        <v>0</v>
      </c>
      <c r="S72" s="118" t="str">
        <f>IF(ValbyACO_ICC2[[#This Row],[2022 Member Months]]=0,"NA",SUMIFS(ACOAETME2022[[#All],[Claims: Hospital Inpatient]],ACOAETME2022[[#All],[Insurance Category Code]], $E$62,ACOAETME2022[[#All],[ACO/AE or Insurer Overall Organization ID]],ValbyACO_ICC2[[#This Row],[Org ID]])/ValbyACO_ICC2[[#This Row],[2022 Member Months]])</f>
        <v>NA</v>
      </c>
      <c r="T72" s="118" t="str">
        <f>IF(ValbyACO_ICC2[[#This Row],[2022 Member Months]]=0,"NA",SUMIFS(ACOAETME2022[[#All],[Claims: Hospital Outpatient]],ACOAETME2022[[#All],[Insurance Category Code]], $E$62,ACOAETME2022[[#All],[ACO/AE or Insurer Overall Organization ID]],ValbyACO_ICC2[[#This Row],[Org ID]])/ValbyACO_ICC2[[#This Row],[2022 Member Months]])</f>
        <v>NA</v>
      </c>
      <c r="U72" s="118" t="str">
        <f>IF(ValbyACO_ICC2[[#This Row],[2022 Member Months]]=0,"NA",SUMIFS(ACOAETME2022[[#All],[Claims: Professional, Primary Care]],ACOAETME2022[[#All],[Insurance Category Code]], $E$62,ACOAETME2022[[#All],[ACO/AE or Insurer Overall Organization ID]],ValbyACO_ICC2[[#This Row],[Org ID]])/ValbyACO_ICC2[[#This Row],[2022 Member Months]])</f>
        <v>NA</v>
      </c>
      <c r="V72" s="118" t="str">
        <f>IF(ValbyACO_ICC2[[#This Row],[2022 Member Months]]=0,"NA",SUMIFS(ACOAETME2022[[#All],[Claims: Professional, Specialty Care]],ACOAETME2022[[#All],[Insurance Category Code]], 2,ACOAETME2022[[#All],[ACO/AE or Insurer Overall Organization ID]],ValbyACO_ICC2[[#This Row],[Org ID]])/ValbyACO_ICC2[[#This Row],[2022 Member Months]])</f>
        <v>NA</v>
      </c>
      <c r="W72" s="118" t="str">
        <f>IF(ValbyACO_ICC2[[#This Row],[2022 Member Months]]=0,"NA",SUMIFS(ACOAETME2022[[#All],[Claims: Professional Other]],ACOAETME2022[[#All],[Insurance Category Code]], $E$62,ACOAETME2022[[#All],[ACO/AE or Insurer Overall Organization ID]],ValbyACO_ICC2[[#This Row],[Org ID]])/ValbyACO_ICC2[[#This Row],[2022 Member Months]])</f>
        <v>NA</v>
      </c>
      <c r="X72" s="118" t="str">
        <f>IF(ValbyACO_ICC2[[#This Row],[2022 Member Months]]=0,"NA",SUMIFS(ACOAETME2022[[#All],[Claims: Pharmacy]],ACOAETME2022[[#All],[Insurance Category Code]], $E$62,ACOAETME2022[[#All],[ACO/AE or Insurer Overall Organization ID]],ValbyACO_ICC2[[#This Row],[Org ID]])/ValbyACO_ICC2[[#This Row],[2022 Member Months]])</f>
        <v>NA</v>
      </c>
      <c r="Y72" s="118" t="str">
        <f>IF(ValbyACO_ICC2[[#This Row],[2022 Member Months]]=0,"NA",SUMIFS(ACOAETME2022[[#All],[Claims: Long-Term Care]],ACOAETME2022[[#All],[Insurance Category Code]], $E$62,ACOAETME2022[[#All],[ACO/AE or Insurer Overall Organization ID]],ValbyACO_ICC2[[#This Row],[Org ID]])/ValbyACO_ICC2[[#This Row],[2022 Member Months]])</f>
        <v>NA</v>
      </c>
      <c r="Z72" s="118" t="str">
        <f>IF(ValbyACO_ICC2[[#This Row],[2022 Member Months]]=0,"NA",SUMIFS(ACOAETME2022[[#All],[Claims: Other]],ACOAETME2022[[#All],[Insurance Category Code]], $E$62,ACOAETME2022[[#All],[ACO/AE or Insurer Overall Organization ID]],ValbyACO_ICC2[[#This Row],[Org ID]])/ValbyACO_ICC2[[#This Row],[2022 Member Months]])</f>
        <v>NA</v>
      </c>
      <c r="AA72" s="118" t="str">
        <f>IF(ValbyACO_ICC2[[#This Row],[2022 Member Months]]=0,"NA",SUMIFS(ACOAETME2022[[#All],[TOTAL Non-Truncated Unadjusted Claims Expenses]],ACOAETME2022[[#All],[Insurance Category Code]], $E$62,ACOAETME2022[[#All],[ACO/AE or Insurer Overall Organization ID]],ValbyACO_ICC2[[#This Row],[Org ID]])/ValbyACO_ICC2[[#This Row],[2022 Member Months]])</f>
        <v>NA</v>
      </c>
      <c r="AB72" s="118" t="str">
        <f>IF(ValbyACO_ICC2[[#This Row],[2022 Member Months]]=0,"NA",SUMIFS(ACOAETME2022[[#All],[TOTAL Truncated Unadjusted Expenses (A20+A21)]],ACOAETME2022[[#All],[Insurance Category Code]], $E$62,ACOAETME2022[[#All],[ACO/AE or Insurer Overall Organization ID]],ValbyACO_ICC2[[#This Row],[Org ID]])/ValbyACO_ICC2[[#This Row],[2022 Member Months]])</f>
        <v>NA</v>
      </c>
      <c r="AC72" s="118" t="str">
        <f>IF(ValbyACO_ICC2[[#This Row],[2022 Member Months]]=0,"NA",SUMIFS(ACOAETME2022[[#All],[TOTAL Non-Claims Expenses]],ACOAETME2022[[#All],[Insurance Category Code]], $E$62,ACOAETME2022[[#All],[ACO/AE or Insurer Overall Organization ID]],ValbyACO_ICC2[[#This Row],[Org ID]])/ValbyACO_ICC2[[#This Row],[2022 Member Months]])</f>
        <v>NA</v>
      </c>
      <c r="AD72" s="268" t="str">
        <f>IF(ValbyACO_ICC2[[#This Row],[2022 Member Months]]=0,"NA",SUMIFS(ACOAETME2022[[#All],[TOTAL Non-Truncated Unadjusted Expenses 
(A19+A21)]],ACOAETME2022[[#All],[Insurance Category Code]], $E$62,ACOAETME2022[[#All],[ACO/AE or Insurer Overall Organization ID]],ValbyACO_ICC2[[#This Row],[Org ID]])/ValbyACO_ICC2[[#This Row],[2022 Member Months]])</f>
        <v>NA</v>
      </c>
      <c r="AE72" s="119" t="str">
        <f>IF(ValbyACO_ICC2[[#This Row],[2022 Member Months]]=0,"NA",SUMIFS(ACOAETME2022[[#All],[TOTAL Truncated Unadjusted Expenses (A20+A21)]],ACOAETME2022[[#All],[Insurance Category Code]],$E$62,ACOAETME2022[[#All],[ACO/AE or Insurer Overall Organization ID]],ValbyACO_ICC2[[#This Row],[Org ID]])/ValbyACO_ICC2[[#This Row],[2022 Member Months]])</f>
        <v>NA</v>
      </c>
      <c r="AF72" s="161" t="str">
        <f>IFERROR(IF(ValbyACO_ICC2[[#This Row],[2021 Member Months]]=0,"NA",ValbyACO_ICC2[[#This Row],[2022 Member Months]]/ValbyACO_ICC2[[#This Row],[2021 Member Months]]-1),"NA")</f>
        <v>NA</v>
      </c>
      <c r="AG72" s="161" t="str">
        <f>IFERROR(IF(ValbyACO_ICC2[[#This Row],[2021 Member Months]]=0,"NA",ValbyACO_ICC2[[#This Row],[2022 Claims: Hospital Inpatient]]/ValbyACO_ICC2[[#This Row],[2021 Claims: Hospital Inpatient]]-1),"NA")</f>
        <v>NA</v>
      </c>
      <c r="AH72" s="162" t="str">
        <f>IFERROR(IF(ValbyACO_ICC2[[#This Row],[2021 Member Months]]=0,"NA",ValbyACO_ICC2[[#This Row],[2022 Claims: Hospital Outpatient]]/ValbyACO_ICC2[[#This Row],[2021 Claims: Hospital Outpatient]]-1),"NA")</f>
        <v>NA</v>
      </c>
      <c r="AI72" s="162" t="str">
        <f>IFERROR(IF(ValbyACO_ICC2[[#This Row],[2021 Member Months]]=0,"NA",ValbyACO_ICC2[[#This Row],[2022 Claims: Professional, Primary Care]]/ValbyACO_ICC2[[#This Row],[2021 Claims: Professional, Primary Care]]-1),"NA")</f>
        <v>NA</v>
      </c>
      <c r="AJ72" s="162" t="str">
        <f>IFERROR(IF(ValbyACO_ICC2[[#This Row],[2021 Member Months]]=0,"NA",ValbyACO_ICC2[[#This Row],[2022 Claims: Professional, Specialty Care]]/ValbyACO_ICC2[[#This Row],[2021 Claims: Professional, Specialty Care]]-1),"NA")</f>
        <v>NA</v>
      </c>
      <c r="AK72" s="162" t="str">
        <f>IFERROR(IF(ValbyACO_ICC2[[#This Row],[2021 Member Months]]=0,"NA", ValbyACO_ICC2[[#This Row],[2022 Claims: Professional Other]]/ValbyACO_ICC2[[#This Row],[2021 Claims: Professional Other]]-1),"NA")</f>
        <v>NA</v>
      </c>
      <c r="AL72" s="162" t="str">
        <f>IFERROR(IF(ValbyACO_ICC2[[#This Row],[2021 Member Months]]=0,"NA",ValbyACO_ICC2[[#This Row],[2022 Claims: Pharmacy (Gross of Retail Pharmacy Rebates)]]/ValbyACO_ICC2[[#This Row],[2021 Claims: Pharmacy (Gross of  Rebates)]]-1),"NA")</f>
        <v>NA</v>
      </c>
      <c r="AM72" s="162" t="str">
        <f>IFERROR(IF(ValbyACO_ICC2[[#This Row],[2021 Member Months]]=0,"NA",ValbyACO_ICC2[[#This Row],[2022 Claims: Long-term Care]]/ValbyACO_ICC2[[#This Row],[2021 Claims: Long-term Care]]-1),"NA")</f>
        <v>NA</v>
      </c>
      <c r="AN72" s="162" t="str">
        <f>IFERROR(IF(ValbyACO_ICC2[[#This Row],[2021 Member Months]]=0,"NA",ValbyACO_ICC2[[#This Row],[2022 Claims: Other]]/ValbyACO_ICC2[[#This Row],[2021 Claims: Other]]-1),"NA")</f>
        <v>NA</v>
      </c>
      <c r="AO72" s="163" t="str">
        <f>IFERROR(IF(ValbyACO_ICC2[[#This Row],[2021 Member Months]]=0,"NA",ValbyACO_ICC2[[#This Row],[2022 TOTAL Non-Truncated Claims Expenses]]/ValbyACO_ICC2[[#This Row],[2021 TOTAL Non-Truncated Claims Expenses]]-1),"NA")</f>
        <v>NA</v>
      </c>
      <c r="AP72" s="163" t="str">
        <f>IFERROR(IF(ValbyACO_ICC2[[#This Row],[2021 Member Months]]=0,"NA",ValbyACO_ICC2[[#This Row],[2022 TOTAL Truncated Claims Expenses]]/ValbyACO_ICC2[[#This Row],[2021 TOTAL Truncated Claims Expenses]]-1),"NA")</f>
        <v>NA</v>
      </c>
      <c r="AQ72" s="163" t="str">
        <f>IFERROR(IF(ValbyACO_ICC2[[#This Row],[2021 Member Months]]=0,"NA",ValbyACO_ICC2[[#This Row],[2022 TOTAL Non-Claims Expenses]]/ValbyACO_ICC2[[#This Row],[2021 TOTAL Non-Claims Expenses]]-1),"NA")</f>
        <v>NA</v>
      </c>
      <c r="AR72" s="163" t="str">
        <f>IFERROR(IF(ValbyACO_ICC2[[#This Row],[2021 Member Months]]=0,"NA",ValbyACO_ICC2[[#This Row],[2022 TOTAL Non-Truncated Total Expenses]]/ValbyACO_ICC2[[#This Row],[2021 TOTAL Non-Truncated Total Expenses]]-1),"NA")</f>
        <v>NA</v>
      </c>
      <c r="AS72" s="163" t="str">
        <f>IFERROR(IF(ValbyACO_ICC2[[#This Row],[2021 Member Months]]=0,"NA",ValbyACO_ICC2[[#This Row],[2022 TOTAL Truncated Total Expenses]]/ValbyACO_ICC2[[#This Row],[2021 TOTAL Truncated Total Expenses]]-1),"NA")</f>
        <v>NA</v>
      </c>
    </row>
    <row r="73" spans="1:45" x14ac:dyDescent="0.35">
      <c r="B73" s="251"/>
      <c r="C73" s="292" t="s">
        <v>118</v>
      </c>
      <c r="D73" s="273">
        <f>SUM(D64:D72)</f>
        <v>0</v>
      </c>
      <c r="E73" s="269" t="str">
        <f>IF(ValbyACO_ICC2[[#This Row],[2021 Member Months]]=0,"NA",SUMPRODUCT(E64:E72,D64:D72)/ValbyACO_ICC2[[#This Row],[2021 Member Months]])</f>
        <v>NA</v>
      </c>
      <c r="F73" s="315" t="str">
        <f>IF(ValbyACO_ICC2[[#This Row],[2021 Member Months]]=0,"NA",SUMPRODUCT(F64:F72,D64:D72)/ValbyACO_ICC2[[#This Row],[2021 Member Months]])</f>
        <v>NA</v>
      </c>
      <c r="G73" s="315" t="str">
        <f>IF(ValbyACO_ICC2[[#This Row],[2021 Member Months]]=0,"NA",SUMPRODUCT(G64:G72,D64:D72)/ValbyACO_ICC2[[#This Row],[2021 Member Months]])</f>
        <v>NA</v>
      </c>
      <c r="H73" s="315" t="str">
        <f>IF(ValbyACO_ICC2[[#This Row],[2021 Member Months]]=0,"NA",SUMPRODUCT(H64:H72,D64:D72)/ValbyACO_ICC2[[#This Row],[2021 Member Months]])</f>
        <v>NA</v>
      </c>
      <c r="I73" s="315" t="str">
        <f>IF(ValbyACO_ICC2[[#This Row],[2021 Member Months]]=0,"NA",SUMPRODUCT(I64:I72,D64:D72)/ValbyACO_ICC2[[#This Row],[2021 Member Months]])</f>
        <v>NA</v>
      </c>
      <c r="J73" s="315" t="str">
        <f>IF(ValbyACO_ICC2[[#This Row],[2021 Member Months]]=0,"NA",SUMPRODUCT(J64:J72,D64:D72)/ValbyACO_ICC2[[#This Row],[2021 Member Months]])</f>
        <v>NA</v>
      </c>
      <c r="K73" s="315" t="str">
        <f>IF(ValbyACO_ICC2[[#This Row],[2021 Member Months]]=0,"NA",SUMPRODUCT(K64:K72,D64:D72)/ValbyACO_ICC2[[#This Row],[2021 Member Months]])</f>
        <v>NA</v>
      </c>
      <c r="L73" s="315" t="str">
        <f>IF(ValbyACO_ICC2[[#This Row],[2021 Member Months]]=0,"NA",SUMPRODUCT(L64:L72,D64:D72)/ValbyACO_ICC2[[#This Row],[2021 Member Months]])</f>
        <v>NA</v>
      </c>
      <c r="M73" s="124" t="str">
        <f>IF(ValbyACO_ICC2[[#This Row],[2021 Member Months]]=0,"NA",SUMPRODUCT(M64:M72,D64:D72)/ValbyACO_ICC2[[#This Row],[2021 Member Months]])</f>
        <v>NA</v>
      </c>
      <c r="N73" s="124" t="str">
        <f>IF(ValbyACO_ICC2[[#This Row],[2021 Member Months]]=0,"NA",SUMPRODUCT(N64:N72,D64:D72)/ValbyACO_ICC2[[#This Row],[2021 Member Months]])</f>
        <v>NA</v>
      </c>
      <c r="O73" s="124" t="str">
        <f>IF(ValbyACO_ICC2[[#This Row],[2021 Member Months]]=0,"NA",SUMPRODUCT(O64:O72,D64:D72)/ValbyACO_ICC2[[#This Row],[2021 Member Months]])</f>
        <v>NA</v>
      </c>
      <c r="P73" s="124" t="str">
        <f>IF(ValbyACO_ICC2[[#This Row],[2021 Member Months]]=0,"NA",SUMPRODUCT(P64:P72,D64:D72)/ValbyACO_ICC2[[#This Row],[2021 Member Months]])</f>
        <v>NA</v>
      </c>
      <c r="Q73" s="125" t="str">
        <f>IF(ValbyACO_ICC2[[#This Row],[2021 Member Months]]=0,"NA",SUMPRODUCT(Q64:Q72,D64:D72)/ValbyACO_ICC2[[#This Row],[2021 Member Months]])</f>
        <v>NA</v>
      </c>
      <c r="R73" s="273">
        <f>SUM(R64:R72)</f>
        <v>0</v>
      </c>
      <c r="S73" s="123" t="str">
        <f>IF(R73=0,"NA",SUMPRODUCT(S64:S72,R64:R72)/R73)</f>
        <v>NA</v>
      </c>
      <c r="T73" s="89" t="str">
        <f>IF(R73=0,"NA",SUMPRODUCT(T64:T72,R64:R72)/R73)</f>
        <v>NA</v>
      </c>
      <c r="U73" s="89" t="str">
        <f>IF(R73=0,"NA",SUMPRODUCT(U64:U72,R64:R72)/R73)</f>
        <v>NA</v>
      </c>
      <c r="V73" s="89" t="str">
        <f>IF(R73=0,"NA",SUMPRODUCT(V64:V72,R64:R72)/R73)</f>
        <v>NA</v>
      </c>
      <c r="W73" s="89" t="str">
        <f>IF(R73=0,"NA",SUMPRODUCT(W64:W72,R64:R72)/R73)</f>
        <v>NA</v>
      </c>
      <c r="X73" s="89" t="str">
        <f>IF(R73=0,"NA",SUMPRODUCT(X64:X72,R64:R72)/R73)</f>
        <v>NA</v>
      </c>
      <c r="Y73" s="89" t="str">
        <f>IF(R73=0,"NA",SUMPRODUCT(Y64:Y72,R64:R72)/R73)</f>
        <v>NA</v>
      </c>
      <c r="Z73" s="89" t="str">
        <f>IF(R73=0,"NA",SUMPRODUCT(Z64:Z72,R64:R72)/R73)</f>
        <v>NA</v>
      </c>
      <c r="AA73" s="118" t="str">
        <f>IF(ValbyACO_ICC2[[#This Row],[2022 Member Months]]=0,"NA",SUMPRODUCT(AA64:AA72,R64:R72)/ValbyACO_ICC2[[#This Row],[2022 Member Months]])</f>
        <v>NA</v>
      </c>
      <c r="AB73" s="118" t="str">
        <f>IF(ValbyACO_ICC2[[#This Row],[2022 Member Months]]=0,"NA",SUMPRODUCT(AB64:AB72,R64:R72)/ValbyACO_ICC2[[#This Row],[2022 Member Months]])</f>
        <v>NA</v>
      </c>
      <c r="AC73" s="118" t="str">
        <f>IF(ValbyACO_ICC2[[#This Row],[2022 Member Months]]=0,"NA",SUMPRODUCT(AC64:AC72,R64:R72)/ValbyACO_ICC2[[#This Row],[2022 Member Months]])</f>
        <v>NA</v>
      </c>
      <c r="AD73" s="268" t="str">
        <f>IF(ValbyACO_ICC2[[#This Row],[2022 Member Months]]=0,"NA",SUMPRODUCT(AD64:AD72,R64:R72)/ValbyACO_ICC2[[#This Row],[2022 Member Months]])</f>
        <v>NA</v>
      </c>
      <c r="AE73" s="119" t="str">
        <f>IF(ValbyACO_ICC2[[#This Row],[2022 Member Months]]=0,"NA",SUMIFS(ACOAETME2022[[#All],[Non-Truncated Unadjusted TME (PMPM) (A22/A1)]],ACOAETME2022[[#All],[Insurance Category Code]], 2,ACOAETME2022[[#All],[ACO/AE or Insurer Overall Organization ID]],ValbyACO_ICC2[[#This Row],[Org ID]])/ValbyACO_ICC2[[#This Row],[2022 Member Months]])</f>
        <v>NA</v>
      </c>
      <c r="AF73" s="161" t="str">
        <f>IFERROR(IF(ValbyACO_ICC2[[#This Row],[2021 Member Months]]=0,"NA",ValbyACO_ICC2[[#This Row],[2022 Member Months]]/ValbyACO_ICC2[[#This Row],[2021 Member Months]]-1),"NA")</f>
        <v>NA</v>
      </c>
      <c r="AG73" s="166" t="str">
        <f>IFERROR(IF($D73=0,"NA",S73/E73-1),"NA")</f>
        <v>NA</v>
      </c>
      <c r="AH73" s="162" t="str">
        <f>IFERROR(IF(ValbyACO_ICC2[[#This Row],[2021 Member Months]]=0,"NA",ValbyACO_ICC2[[#This Row],[2022 Claims: Hospital Outpatient]]/ValbyACO_ICC2[[#This Row],[2021 Claims: Hospital Outpatient]]-1),"NA")</f>
        <v>NA</v>
      </c>
      <c r="AI73" s="162" t="str">
        <f>IFERROR(IF(ValbyACO_ICC2[[#This Row],[2021 Member Months]]=0,"NA",ValbyACO_ICC2[[#This Row],[2022 Claims: Professional, Primary Care]]/ValbyACO_ICC2[[#This Row],[2021 Claims: Professional, Primary Care]]-1),"NA")</f>
        <v>NA</v>
      </c>
      <c r="AJ73" s="162" t="str">
        <f>IFERROR(IF(ValbyACO_ICC2[[#This Row],[2021 Member Months]]=0,"NA",ValbyACO_ICC2[[#This Row],[2022 Claims: Professional, Specialty Care]]/ValbyACO_ICC2[[#This Row],[2021 Claims: Professional, Specialty Care]]-1),"NA")</f>
        <v>NA</v>
      </c>
      <c r="AK73" s="162" t="str">
        <f>IFERROR(IF(ValbyACO_ICC2[[#This Row],[2021 Member Months]]=0,"NA", ValbyACO_ICC2[[#This Row],[2022 Claims: Professional Other]]/ValbyACO_ICC2[[#This Row],[2021 Claims: Professional Other]]-1),"NA")</f>
        <v>NA</v>
      </c>
      <c r="AL73" s="162" t="str">
        <f>IFERROR(IF(ValbyACO_ICC2[[#This Row],[2021 Member Months]]=0,"NA",ValbyACO_ICC2[[#This Row],[2022 Claims: Pharmacy (Gross of Retail Pharmacy Rebates)]]/ValbyACO_ICC2[[#This Row],[2021 Claims: Pharmacy (Gross of  Rebates)]]-1),"NA")</f>
        <v>NA</v>
      </c>
      <c r="AM73" s="162" t="str">
        <f>IFERROR(IF(ValbyACO_ICC2[[#This Row],[2021 Member Months]]=0,"NA",ValbyACO_ICC2[[#This Row],[2022 Claims: Long-term Care]]/ValbyACO_ICC2[[#This Row],[2021 Claims: Long-term Care]]-1),"NA")</f>
        <v>NA</v>
      </c>
      <c r="AN73" s="162" t="str">
        <f>IFERROR(IF(ValbyACO_ICC2[[#This Row],[2021 Member Months]]=0,"NA",ValbyACO_ICC2[[#This Row],[2022 Claims: Other]]/ValbyACO_ICC2[[#This Row],[2021 Claims: Other]]-1),"NA")</f>
        <v>NA</v>
      </c>
      <c r="AO73" s="163" t="str">
        <f>IFERROR(IF(ValbyACO_ICC2[[#This Row],[2021 Member Months]]=0,"NA",ValbyACO_ICC2[[#This Row],[2022 TOTAL Non-Truncated Claims Expenses]]/ValbyACO_ICC2[[#This Row],[2021 TOTAL Non-Truncated Claims Expenses]]-1),"NA")</f>
        <v>NA</v>
      </c>
      <c r="AP73" s="163" t="str">
        <f>IFERROR(IF(ValbyACO_ICC2[[#This Row],[2021 Member Months]]=0,"NA",ValbyACO_ICC2[[#This Row],[2022 TOTAL Truncated Claims Expenses]]/ValbyACO_ICC2[[#This Row],[2021 TOTAL Truncated Claims Expenses]]-1),"NA")</f>
        <v>NA</v>
      </c>
      <c r="AQ73" s="163" t="str">
        <f>IFERROR(IF(ValbyACO_ICC2[[#This Row],[2021 Member Months]]=0,"NA",ValbyACO_ICC2[[#This Row],[2022 TOTAL Non-Claims Expenses]]/ValbyACO_ICC2[[#This Row],[2021 TOTAL Non-Claims Expenses]]-1),"NA")</f>
        <v>NA</v>
      </c>
      <c r="AR73" s="163" t="str">
        <f>IFERROR(IF(ValbyACO_ICC2[[#This Row],[2021 Member Months]]=0,"NA",ValbyACO_ICC2[[#This Row],[2022 TOTAL Non-Truncated Total Expenses]]/ValbyACO_ICC2[[#This Row],[2021 TOTAL Non-Truncated Total Expenses]]-1),"NA")</f>
        <v>NA</v>
      </c>
      <c r="AS73" s="163" t="str">
        <f>IFERROR(IF(ValbyACO_ICC2[[#This Row],[2021 Member Months]]=0,"NA",ValbyACO_ICC2[[#This Row],[2022 TOTAL Truncated Total Expenses]]/ValbyACO_ICC2[[#This Row],[2021 TOTAL Truncated Total Expenses]]-1),"NA")</f>
        <v>NA</v>
      </c>
    </row>
    <row r="74" spans="1:45" ht="15" thickBot="1" x14ac:dyDescent="0.4">
      <c r="B74" s="255"/>
      <c r="C74" s="293" t="s">
        <v>119</v>
      </c>
      <c r="D74" s="274">
        <f>D73</f>
        <v>0</v>
      </c>
      <c r="E74" s="344"/>
      <c r="F74" s="345"/>
      <c r="G74" s="345"/>
      <c r="H74" s="345"/>
      <c r="I74" s="345"/>
      <c r="J74" s="340" t="str">
        <f>IF(ValbyACO_ICC2[[#This Row],[2021 Member Months]]=0,"NA",(SUMPRODUCT(J64:J72,D64:D72)-ABS(SUMIF(RxRebates21[[#All],[Insurance Category Code]],$E$62,RxRebates21[[#All],[Retail Pharmacy Rebates]])))/ValbyACO_ICC2[[#This Row],[2021 Member Months]])</f>
        <v>NA</v>
      </c>
      <c r="K74" s="345"/>
      <c r="L74" s="345"/>
      <c r="M74" s="127" t="str">
        <f>IF(ValbyACO_ICC2[[#This Row],[2021 Member Months]]=0,"NA",(SUMPRODUCT(M64:M72,D64:D72)-ABS(SUMIF(RxRebates21[[#All],[Insurance Category Code]],$E$62,RxRebates21[[#All],[Total Pharmacy Rebates]])))/ValbyACO_ICC2[[#This Row],[2021 Member Months]])</f>
        <v>NA</v>
      </c>
      <c r="N74" s="127" t="str">
        <f>IF(ValbyACO_ICC2[[#This Row],[2021 Member Months]]=0,"NA",(SUMPRODUCT(N64:N72,D64:D72)-ABS(SUMIF(RxRebates21[[#All],[Insurance Category Code]],$E$62,RxRebates21[[#All],[Total Pharmacy Rebates]])))/ValbyACO_ICC2[[#This Row],[2021 Member Months]])</f>
        <v>NA</v>
      </c>
      <c r="O74" s="127" t="str">
        <f>IF(ValbyACO_ICC2[[#This Row],[2021 Member Months]]=0,"NA",(SUMPRODUCT(O64:O72,D64:D72)-ABS(SUMIF(RxRebates21[[#All],[Insurance Category Code]],$E$62,RxRebates21[[#All],[Total Pharmacy Rebates]])))/ValbyACO_ICC2[[#This Row],[2021 Member Months]])</f>
        <v>NA</v>
      </c>
      <c r="P74" s="127" t="str">
        <f>IF(ValbyACO_ICC2[[#This Row],[2021 Member Months]]=0,"NA",(SUMPRODUCT(P64:P72,D64:D72)-ABS(SUMIF(RxRebates21[[#All],[Insurance Category Code]],$E$62,RxRebates21[[#All],[Total Pharmacy Rebates]])))/ValbyACO_ICC2[[#This Row],[2021 Member Months]])</f>
        <v>NA</v>
      </c>
      <c r="Q74" s="128" t="str">
        <f>IF(ValbyACO_ICC2[[#This Row],[2021 Member Months]]=0,"NA",(SUMPRODUCT(Q64:Q72,D64:D72)-ABS(SUMIF(RxRebates21[[#All],[Insurance Category Code]],$E$62,RxRebates21[[#All],[Total Pharmacy Rebates]])))/ValbyACO_ICC2[[#This Row],[2021 Member Months]])</f>
        <v>NA</v>
      </c>
      <c r="R74" s="274">
        <f>R73</f>
        <v>0</v>
      </c>
      <c r="S74" s="346"/>
      <c r="T74" s="347"/>
      <c r="U74" s="347"/>
      <c r="V74" s="347"/>
      <c r="W74" s="347"/>
      <c r="X74" s="126" t="str">
        <f>IF(ValbyACO_ICC2[[#This Row],[2022 Member Months]]=0,"NA",(SUMPRODUCT(X64:X72,R64:R72)-ABS(SUMIF(RxRebates22[[#All],[Insurance Category Code]],$E$62,RxRebates22[[#All],[Retail Pharmacy Rebates]])))/ValbyACO_ICC2[[#This Row],[2022 Member Months]])</f>
        <v>NA</v>
      </c>
      <c r="Y74" s="347"/>
      <c r="Z74" s="347"/>
      <c r="AA74" s="127" t="str">
        <f>IF(ValbyACO_ICC2[[#This Row],[2022 Member Months]]=0,"NA",(SUMPRODUCT(AA64:AA72,R64:R72)-ABS(SUMIF(RxRebates22[[#All],[Insurance Category Code]],$E$62,RxRebates22[[#All],[Total Pharmacy Rebates]])))/ValbyACO_ICC2[[#This Row],[2022 Member Months]])</f>
        <v>NA</v>
      </c>
      <c r="AB74" s="127" t="str">
        <f>IF(ValbyACO_ICC2[[#This Row],[2022 Member Months]]=0,"NA",(SUMPRODUCT(AB64:AB72,R64:R72)-ABS(SUMIF(RxRebates22[[#All],[Insurance Category Code]],$E$62,RxRebates22[[#All],[Total Pharmacy Rebates]])))/ValbyACO_ICC2[[#This Row],[2022 Member Months]])</f>
        <v>NA</v>
      </c>
      <c r="AC74" s="127" t="str">
        <f>IF(ValbyACO_ICC2[[#This Row],[2022 Member Months]]=0,"NA",(SUMPRODUCT(AC64:AC72,R64:R72)-ABS(SUMIF(RxRebates22[[#All],[Insurance Category Code]],$E$62,RxRebates22[[#All],[Total Pharmacy Rebates]])))/ValbyACO_ICC2[[#This Row],[2022 Member Months]])</f>
        <v>NA</v>
      </c>
      <c r="AD74" s="127" t="str">
        <f>IF(ValbyACO_ICC2[[#This Row],[2022 Member Months]]=0,"NA",(SUMPRODUCT(AD64:AD72,R64:R72)-ABS(SUMIF(RxRebates22[[#All],[Insurance Category Code]],$E$62,RxRebates22[[#All],[Total Pharmacy Rebates]])))/ValbyACO_ICC2[[#This Row],[2022 Member Months]])</f>
        <v>NA</v>
      </c>
      <c r="AE74" s="128" t="str">
        <f>IF(ValbyACO_ICC2[[#This Row],[2022 Member Months]]=0,"NA",(SUMPRODUCT(AE64:AE72,R64:R72)-ABS(SUMIF(RxRebates22[[#All],[Insurance Category Code]],$E$62,RxRebates22[[#All],[Total Pharmacy Rebates]])))/ValbyACO_ICC2[[#This Row],[2022 Member Months]])</f>
        <v>NA</v>
      </c>
      <c r="AF74" s="161" t="str">
        <f>IFERROR(IF(ValbyACO_ICC2[[#This Row],[2021 Member Months]]=0,"NA",ValbyACO_ICC2[[#This Row],[2022 Member Months]]/ValbyACO_ICC2[[#This Row],[2021 Member Months]]-1),"NA")</f>
        <v>NA</v>
      </c>
      <c r="AG74" s="335"/>
      <c r="AH74" s="336"/>
      <c r="AI74" s="336"/>
      <c r="AJ74" s="336"/>
      <c r="AK74" s="336"/>
      <c r="AL74" s="162" t="str">
        <f>IFERROR(IF(ValbyACO_ICC2[[#This Row],[2021 Member Months]]=0,"NA",ValbyACO_ICC2[[#This Row],[2022 Claims: Pharmacy (Gross of Retail Pharmacy Rebates)]]/ValbyACO_ICC2[[#This Row],[2021 Claims: Pharmacy (Gross of  Rebates)]]-1),"NA")</f>
        <v>NA</v>
      </c>
      <c r="AM74" s="336"/>
      <c r="AN74" s="336"/>
      <c r="AO74" s="163" t="str">
        <f>IFERROR(IF(ValbyACO_ICC2[[#This Row],[2021 Member Months]]=0,"NA",ValbyACO_ICC2[[#This Row],[2022 TOTAL Non-Truncated Claims Expenses]]/ValbyACO_ICC2[[#This Row],[2021 TOTAL Non-Truncated Claims Expenses]]-1),"NA")</f>
        <v>NA</v>
      </c>
      <c r="AP74" s="163" t="str">
        <f>IFERROR(IF(ValbyACO_ICC2[[#This Row],[2021 Member Months]]=0,"NA",ValbyACO_ICC2[[#This Row],[2022 TOTAL Truncated Claims Expenses]]/ValbyACO_ICC2[[#This Row],[2021 TOTAL Truncated Claims Expenses]]-1),"NA")</f>
        <v>NA</v>
      </c>
      <c r="AQ74" s="163" t="str">
        <f>IFERROR(IF(ValbyACO_ICC2[[#This Row],[2021 Member Months]]=0,"NA",ValbyACO_ICC2[[#This Row],[2022 TOTAL Non-Claims Expenses]]/ValbyACO_ICC2[[#This Row],[2021 TOTAL Non-Claims Expenses]]-1),"NA")</f>
        <v>NA</v>
      </c>
      <c r="AR74" s="163" t="str">
        <f>IFERROR(IF(ValbyACO_ICC2[[#This Row],[2021 Member Months]]=0,"NA",ValbyACO_ICC2[[#This Row],[2022 TOTAL Non-Truncated Total Expenses]]/ValbyACO_ICC2[[#This Row],[2021 TOTAL Non-Truncated Total Expenses]]-1),"NA")</f>
        <v>NA</v>
      </c>
      <c r="AS74" s="163" t="str">
        <f>IFERROR(IF(ValbyACO_ICC2[[#This Row],[2021 Member Months]]=0,"NA",ValbyACO_ICC2[[#This Row],[2022 TOTAL Truncated Total Expenses]]/ValbyACO_ICC2[[#This Row],[2021 TOTAL Truncated Total Expenses]]-1),"NA")</f>
        <v>NA</v>
      </c>
    </row>
    <row r="76" spans="1:45" ht="16" thickBot="1" x14ac:dyDescent="0.4">
      <c r="B76" s="42" t="s">
        <v>205</v>
      </c>
      <c r="C76" s="42"/>
      <c r="E76" s="15">
        <v>6</v>
      </c>
    </row>
    <row r="77" spans="1:45" ht="43.5" x14ac:dyDescent="0.35">
      <c r="B77" s="282" t="s">
        <v>159</v>
      </c>
      <c r="C77" s="283" t="s">
        <v>542</v>
      </c>
      <c r="D77" s="321" t="s">
        <v>544</v>
      </c>
      <c r="E77" s="310" t="s">
        <v>545</v>
      </c>
      <c r="F77" s="310" t="s">
        <v>546</v>
      </c>
      <c r="G77" s="310" t="s">
        <v>547</v>
      </c>
      <c r="H77" s="310" t="s">
        <v>548</v>
      </c>
      <c r="I77" s="310" t="s">
        <v>549</v>
      </c>
      <c r="J77" s="310" t="s">
        <v>665</v>
      </c>
      <c r="K77" s="310" t="s">
        <v>550</v>
      </c>
      <c r="L77" s="310" t="s">
        <v>551</v>
      </c>
      <c r="M77" s="310" t="s">
        <v>552</v>
      </c>
      <c r="N77" s="310" t="s">
        <v>553</v>
      </c>
      <c r="O77" s="310" t="s">
        <v>554</v>
      </c>
      <c r="P77" s="310" t="s">
        <v>555</v>
      </c>
      <c r="Q77" s="322" t="s">
        <v>556</v>
      </c>
      <c r="R77" s="321" t="s">
        <v>662</v>
      </c>
      <c r="S77" s="310" t="s">
        <v>649</v>
      </c>
      <c r="T77" s="310" t="s">
        <v>650</v>
      </c>
      <c r="U77" s="310" t="s">
        <v>651</v>
      </c>
      <c r="V77" s="310" t="s">
        <v>652</v>
      </c>
      <c r="W77" s="310" t="s">
        <v>653</v>
      </c>
      <c r="X77" s="310" t="s">
        <v>654</v>
      </c>
      <c r="Y77" s="310" t="s">
        <v>655</v>
      </c>
      <c r="Z77" s="310" t="s">
        <v>656</v>
      </c>
      <c r="AA77" s="310" t="s">
        <v>657</v>
      </c>
      <c r="AB77" s="310" t="s">
        <v>658</v>
      </c>
      <c r="AC77" s="310" t="s">
        <v>659</v>
      </c>
      <c r="AD77" s="310" t="s">
        <v>660</v>
      </c>
      <c r="AE77" s="310" t="s">
        <v>661</v>
      </c>
      <c r="AF77" s="395" t="s">
        <v>557</v>
      </c>
      <c r="AG77" s="395" t="s">
        <v>558</v>
      </c>
      <c r="AH77" s="395" t="s">
        <v>559</v>
      </c>
      <c r="AI77" s="395" t="s">
        <v>560</v>
      </c>
      <c r="AJ77" s="395" t="s">
        <v>561</v>
      </c>
      <c r="AK77" s="395" t="s">
        <v>562</v>
      </c>
      <c r="AL77" s="395" t="s">
        <v>563</v>
      </c>
      <c r="AM77" s="395" t="s">
        <v>564</v>
      </c>
      <c r="AN77" s="395" t="s">
        <v>565</v>
      </c>
      <c r="AO77" s="395" t="s">
        <v>566</v>
      </c>
      <c r="AP77" s="395" t="s">
        <v>567</v>
      </c>
      <c r="AQ77" s="395" t="s">
        <v>568</v>
      </c>
      <c r="AR77" s="395" t="s">
        <v>569</v>
      </c>
      <c r="AS77" s="396" t="s">
        <v>570</v>
      </c>
    </row>
    <row r="78" spans="1:45" x14ac:dyDescent="0.35">
      <c r="A78" s="129"/>
      <c r="B78" s="250">
        <v>101</v>
      </c>
      <c r="C78" s="291" t="s">
        <v>167</v>
      </c>
      <c r="D78" s="272">
        <f>SUMIFS(ACOAETME2021[[#All],[Member Months]], ACOAETME2021[[#All],[Insurance Category Code]], $E$76, ACOAETME2021[[#All],[ACO/AE or Insurer Overall Organization ID]], ValbyACO_ICC6[[#This Row],[Org ID]])</f>
        <v>0</v>
      </c>
      <c r="E78" s="268" t="str">
        <f>IFERROR(IF(ValbyACO_ICC6[[#This Row],[2021 Member Months]]=0,"NA",SUMIFS(ACOAETME2021[[#All],[Claims: Hospital Inpatient]], ACOAETME2021[[#All],[Insurance Category Code]], $E$76, ACOAETME2021[[#All],[ACO/AE or Insurer Overall Organization ID]], ValbyACO_ICC6[[#This Row],[Org ID]])/ValbyACO_ICC6[[#This Row],[2021 Member Months]]), "NA")</f>
        <v>NA</v>
      </c>
      <c r="F78" s="268" t="str">
        <f>IFERROR(IF(ValbyACO_ICC6[[#This Row],[2021 Member Months]]=0,"NA",SUMIFS(ACOAETME2021[[#All],[Claims: Hospital Outpatient]], ACOAETME2021[[#All],[Insurance Category Code]], $E$76, ACOAETME2021[[#All],[ACO/AE or Insurer Overall Organization ID]], ValbyACO_ICC6[[#This Row],[Org ID]])/ValbyACO_ICC6[[#This Row],[2021 Member Months]]), "NA")</f>
        <v>NA</v>
      </c>
      <c r="G78" s="268" t="str">
        <f>IFERROR(IF(ValbyACO_ICC6[[#This Row],[2021 Member Months]]=0,"NA",SUMIFS(ACOAETME2021[[#All],[Claims: Professional, Primary Care]], ACOAETME2021[[#All],[Insurance Category Code]], $E$76, ACOAETME2021[[#All],[ACO/AE or Insurer Overall Organization ID]], ValbyACO_ICC6[[#This Row],[Org ID]])/ValbyACO_ICC6[[#This Row],[2021 Member Months]]), "NA")</f>
        <v>NA</v>
      </c>
      <c r="H78" s="268" t="str">
        <f>IFERROR(IF(ValbyACO_ICC6[[#This Row],[2021 Member Months]]=0,"NA",SUMIFS(ACOAETME2021[[#All],[Claims: Professional, Specialty Care]], ACOAETME2021[[#All],[Insurance Category Code]], $E$76, ACOAETME2021[[#All],[ACO/AE or Insurer Overall Organization ID]], ValbyACO_ICC6[[#This Row],[Org ID]])/ValbyACO_ICC6[[#This Row],[2021 Member Months]]), "NA")</f>
        <v>NA</v>
      </c>
      <c r="I78" s="268" t="str">
        <f>IFERROR(IF(ValbyACO_ICC6[[#This Row],[2021 Member Months]]=0,"NA",SUMIFS(ACOAETME2021[[#All],[Claims: Professional Other]], ACOAETME2021[[#All],[Insurance Category Code]], $E$76, ACOAETME2021[[#All],[ACO/AE or Insurer Overall Organization ID]], ValbyACO_ICC6[[#This Row],[Org ID]])/ValbyACO_ICC6[[#This Row],[2021 Member Months]]), "NA")</f>
        <v>NA</v>
      </c>
      <c r="J78" s="268" t="str">
        <f>IFERROR(IF(ValbyACO_ICC6[[#This Row],[2021 Member Months]]=0,"NA",SUMIFS(ACOAETME2021[[#All],[Claims: Pharmacy]], ACOAETME2021[[#All],[Insurance Category Code]], $E$76, ACOAETME2021[[#All],[ACO/AE or Insurer Overall Organization ID]], ValbyACO_ICC6[[#This Row],[Org ID]])/ValbyACO_ICC6[[#This Row],[2021 Member Months]]), "NA")</f>
        <v>NA</v>
      </c>
      <c r="K78" s="268" t="str">
        <f>IFERROR(IF(ValbyACO_ICC6[[#This Row],[2021 Member Months]]=0,"NA",SUMIFS(ACOAETME2021[[#All],[Claims: Long-Term Care]], ACOAETME2021[[#All],[Insurance Category Code]], $E$76, ACOAETME2021[[#All],[ACO/AE or Insurer Overall Organization ID]], ValbyACO_ICC6[[#This Row],[Org ID]])/ValbyACO_ICC6[[#This Row],[2021 Member Months]]), "NA")</f>
        <v>NA</v>
      </c>
      <c r="L78" s="268" t="str">
        <f>IFERROR(IF(ValbyACO_ICC6[[#This Row],[2021 Member Months]]=0,"NA",SUMIFS(ACOAETME2021[[#All],[Claims: Other]], ACOAETME2021[[#All],[Insurance Category Code]], $E$76, ACOAETME2021[[#All],[ACO/AE or Insurer Overall Organization ID]], ValbyACO_ICC6[[#This Row],[Org ID]])/ValbyACO_ICC6[[#This Row],[2021 Member Months]]), "NA")</f>
        <v>NA</v>
      </c>
      <c r="M78" s="118" t="str">
        <f>IF(ValbyACO_ICC6[[#This Row],[2021 Member Months]]=0,"NA",SUMIFS(ACOAETME2021[[#All],[TOTAL Non-Truncated Unadjusted Claims Expenses]], ACOAETME2021[[#All],[Insurance Category Code]], $E$76, ACOAETME2021[[#All],[ACO/AE or Insurer Overall Organization ID]], ValbyACO_ICC6[[#This Row],[Org ID]])/ValbyACO_ICC6[[#This Row],[2021 Member Months]])</f>
        <v>NA</v>
      </c>
      <c r="N78" s="118" t="str">
        <f>IF(ValbyACO_ICC6[[#This Row],[2021 Member Months]]=0,"NA",SUMIFS(ACOAETME2021[[#All],[TOTAL Truncated Unadjusted Claims Expenses (A19 - A17)]], ACOAETME2021[[#All],[Insurance Category Code]], $E$76, ACOAETME2021[[#All],[ACO/AE or Insurer Overall Organization ID]], ValbyACO_ICC6[[#This Row],[Org ID]])/ValbyACO_ICC6[[#This Row],[2021 Member Months]])</f>
        <v>NA</v>
      </c>
      <c r="O78" s="118" t="str">
        <f>IF(ValbyACO_ICC6[[#This Row],[2021 Member Months]]=0,"NA",SUMIFS(ACOAETME2021[[#All],[TOTAL Non-Claims Expenses]], ACOAETME2021[[#All],[Insurance Category Code]], $E$76, ACOAETME2021[[#All],[ACO/AE or Insurer Overall Organization ID]], ValbyACO_ICC6[[#This Row],[Org ID]])/ValbyACO_ICC6[[#This Row],[2021 Member Months]])</f>
        <v>NA</v>
      </c>
      <c r="P78" s="268" t="str">
        <f>IF(ValbyACO_ICC6[[#This Row],[2021 Member Months]]=0, "NA", SUMIFS(ACOAETME2021[[#All],[TOTAL Non-Truncated Unadjusted Expenses 
(A19+A21)]], ACOAETME2021[[#All],[Insurance Category Code]], $E$76, ACOAETME2021[[#All],[ACO/AE or Insurer Overall Organization ID]], ValbyACO_ICC6[[#This Row],[Org ID]])/ValbyACO_ICC6[[#This Row],[2021 Member Months]])</f>
        <v>NA</v>
      </c>
      <c r="Q78" s="119" t="str">
        <f>IF(ValbyACO_ICC6[[#This Row],[2021 Member Months]]=0, "NA", SUMIFS(ACOAETME2021[[#All],[TOTAL Truncated Unadjusted Expenses (A20+A21)]], ACOAETME2021[[#All],[Insurance Category Code]], $E$76, ACOAETME2021[[#All],[ACO/AE or Insurer Overall Organization ID]], ValbyACO_ICC6[[#This Row],[Org ID]])/ValbyACO_ICC6[[#This Row],[2021 Member Months]])</f>
        <v>NA</v>
      </c>
      <c r="R78" s="272">
        <f>SUMIFS(ACOAETME2022[[#All],[Member Months]],ACOAETME2022[[#All],[Insurance Category Code]], $E$76,ACOAETME2022[[#All],[ACO/AE or Insurer Overall Organization ID]],ValbyACO_ICC6[[#This Row],[Org ID]])</f>
        <v>0</v>
      </c>
      <c r="S78" s="118" t="str">
        <f>IF(ValbyACO_ICC6[[#This Row],[2022 Member Months]]=0,"NA",SUMIFS(ACOAETME2022[[#All],[Claims: Hospital Inpatient]],ACOAETME2022[[#All],[Insurance Category Code]], $E$76,ACOAETME2022[[#All],[ACO/AE or Insurer Overall Organization ID]],ValbyACO_ICC6[[#This Row],[Org ID]])/ValbyACO_ICC6[[#This Row],[2022 Member Months]])</f>
        <v>NA</v>
      </c>
      <c r="T78" s="118" t="str">
        <f>IF(ValbyACO_ICC6[[#This Row],[2022 Member Months]]=0,"NA",SUMIFS(ACOAETME2022[[#All],[Claims: Hospital Outpatient]],ACOAETME2022[[#All],[Insurance Category Code]], $E$76,ACOAETME2022[[#All],[ACO/AE or Insurer Overall Organization ID]],ValbyACO_ICC6[[#This Row],[Org ID]])/ValbyACO_ICC6[[#This Row],[2022 Member Months]])</f>
        <v>NA</v>
      </c>
      <c r="U78" s="118" t="str">
        <f>IF(ValbyACO_ICC6[[#This Row],[2022 Member Months]]=0,"NA",SUMIFS(ACOAETME2022[[#All],[Claims: Professional, Primary Care]],ACOAETME2022[[#All],[Insurance Category Code]], $E$76,ACOAETME2022[[#All],[ACO/AE or Insurer Overall Organization ID]],ValbyACO_ICC6[[#This Row],[Org ID]])/ValbyACO_ICC6[[#This Row],[2022 Member Months]])</f>
        <v>NA</v>
      </c>
      <c r="V78" s="118" t="str">
        <f>IF(ValbyACO_ICC6[[#This Row],[2022 Member Months]]=0,"NA",SUMIFS(ACOAETME2022[[#All],[Claims: Professional, Specialty Care]],ACOAETME2022[[#All],[Insurance Category Code]], $E$76,ACOAETME2022[[#All],[ACO/AE or Insurer Overall Organization ID]],ValbyACO_ICC6[[#This Row],[Org ID]])/ValbyACO_ICC6[[#This Row],[2022 Member Months]])</f>
        <v>NA</v>
      </c>
      <c r="W78" s="118" t="str">
        <f>IF(ValbyACO_ICC6[[#This Row],[2022 Member Months]]=0,"NA",SUMIFS(ACOAETME2022[[#All],[Claims: Professional Other]],ACOAETME2022[[#All],[Insurance Category Code]], $E$76,ACOAETME2022[[#All],[ACO/AE or Insurer Overall Organization ID]],ValbyACO_ICC6[[#This Row],[Org ID]])/ValbyACO_ICC6[[#This Row],[2022 Member Months]])</f>
        <v>NA</v>
      </c>
      <c r="X78" s="118" t="str">
        <f>IF(ValbyACO_ICC6[[#This Row],[2022 Member Months]]=0,"NA",SUMIFS(ACOAETME2022[[#All],[Claims: Pharmacy]],ACOAETME2022[[#All],[Insurance Category Code]], $E$76,ACOAETME2022[[#All],[ACO/AE or Insurer Overall Organization ID]],ValbyACO_ICC6[[#This Row],[Org ID]])/ValbyACO_ICC6[[#This Row],[2022 Member Months]])</f>
        <v>NA</v>
      </c>
      <c r="Y78" s="118" t="str">
        <f>IF(ValbyACO_ICC6[[#This Row],[2022 Member Months]]=0,"NA",SUMIFS(ACOAETME2022[[#All],[Claims: Long-Term Care]],ACOAETME2022[[#All],[Insurance Category Code]], $E$76,ACOAETME2022[[#All],[ACO/AE or Insurer Overall Organization ID]],ValbyACO_ICC6[[#This Row],[Org ID]])/ValbyACO_ICC6[[#This Row],[2022 Member Months]])</f>
        <v>NA</v>
      </c>
      <c r="Z78" s="118" t="str">
        <f>IF(ValbyACO_ICC6[[#This Row],[2022 Member Months]]=0,"NA",SUMIFS(ACOAETME2022[[#All],[Claims: Other]],ACOAETME2022[[#All],[Insurance Category Code]], $E$76,ACOAETME2022[[#All],[ACO/AE or Insurer Overall Organization ID]],ValbyACO_ICC6[[#This Row],[Org ID]])/ValbyACO_ICC6[[#This Row],[2022 Member Months]])</f>
        <v>NA</v>
      </c>
      <c r="AA78" s="118" t="str">
        <f>IF(ValbyACO_ICC6[[#This Row],[2022 Member Months]]=0,"NA",SUMIFS(ACOAETME2022[[#All],[TOTAL Non-Truncated Unadjusted Claims Expenses]],ACOAETME2022[[#All],[Insurance Category Code]], $E$76,ACOAETME2022[[#All],[ACO/AE or Insurer Overall Organization ID]],ValbyACO_ICC6[[#This Row],[Org ID]])/ValbyACO_ICC6[[#This Row],[2022 Member Months]])</f>
        <v>NA</v>
      </c>
      <c r="AB78" s="118" t="str">
        <f>IF(ValbyACO_ICC6[[#This Row],[2022 Member Months]]=0,"NA",SUMIFS(ACOAETME2022[[#All],[TOTAL Truncated Unadjusted Expenses (A20+A21)]],ACOAETME2022[[#All],[Insurance Category Code]], $E$76,ACOAETME2022[[#All],[ACO/AE or Insurer Overall Organization ID]],ValbyACO_ICC6[[#This Row],[Org ID]])/ValbyACO_ICC6[[#This Row],[2022 Member Months]])</f>
        <v>NA</v>
      </c>
      <c r="AC78" s="118" t="str">
        <f>IF(ValbyACO_ICC6[[#This Row],[2022 Member Months]]=0,"NA",SUMIFS(ACOAETME2022[[#All],[TOTAL Non-Claims Expenses]],ACOAETME2022[[#All],[Insurance Category Code]], $E$76,ACOAETME2022[[#All],[ACO/AE or Insurer Overall Organization ID]],ValbyACO_ICC6[[#This Row],[Org ID]])/ValbyACO_ICC6[[#This Row],[2022 Member Months]])</f>
        <v>NA</v>
      </c>
      <c r="AD78" s="268" t="str">
        <f>IF(ValbyACO_ICC6[[#This Row],[2022 Member Months]]=0,"NA",SUMIFS(ACOAETME2022[[#All],[TOTAL Non-Truncated Unadjusted Expenses 
(A19+A21)]],ACOAETME2022[[#All],[Insurance Category Code]], $E$76,ACOAETME2022[[#All],[ACO/AE or Insurer Overall Organization ID]],ValbyACO_ICC6[[#This Row],[Org ID]])/ValbyACO_ICC6[[#This Row],[2022 Member Months]])</f>
        <v>NA</v>
      </c>
      <c r="AE78" s="119" t="str">
        <f>IF(ValbyACO_ICC6[[#This Row],[2022 Member Months]]=0,"NA",SUMIFS(ACOAETME2022[[#All],[TOTAL Truncated Unadjusted Expenses (A20+A21)]],ACOAETME2022[[#All],[Insurance Category Code]],$E$76,ACOAETME2022[[#All],[ACO/AE or Insurer Overall Organization ID]],ValbyACO_ICC6[[#This Row],[Org ID]])/ValbyACO_ICC6[[#This Row],[2022 Member Months]])</f>
        <v>NA</v>
      </c>
      <c r="AF78" s="160" t="str">
        <f>IFERROR(IF(ValbyACO_ICC6[[#This Row],[2021 Member Months]]=0,"NA",ValbyACO_ICC6[[#This Row],[2022 Member Months]]/ValbyACO_ICC6[[#This Row],[2021 Member Months]]-1),"NA")</f>
        <v>NA</v>
      </c>
      <c r="AG78" s="161" t="str">
        <f>IFERROR(IF(ValbyACO_ICC6[[#This Row],[2021 Member Months]]=0,"NA",ValbyACO_ICC6[[#This Row],[2022 Claims: Hospital Inpatient]]/ValbyACO_ICC6[[#This Row],[2021 Claims: Hospital Inpatient]]-1),"NA")</f>
        <v>NA</v>
      </c>
      <c r="AH78" s="162" t="str">
        <f>IFERROR(IF(ValbyACO_ICC6[[#This Row],[2021 Member Months]]=0,"NA",ValbyACO_ICC6[[#This Row],[2022 Claims: Hospital Outpatient]]/ValbyACO_ICC6[[#This Row],[2021 Claims: Hospital Outpatient]]-1),"NA")</f>
        <v>NA</v>
      </c>
      <c r="AI78" s="162" t="str">
        <f>IFERROR(IF(ValbyACO_ICC6[[#This Row],[2021 Member Months]]=0,"NA",ValbyACO_ICC6[[#This Row],[2022 Claims: Professional, Primary Care]]/ValbyACO_ICC6[[#This Row],[2021 Claims: Professional, Primary Care]]-1),"NA")</f>
        <v>NA</v>
      </c>
      <c r="AJ78" s="162" t="str">
        <f>IFERROR(IF(ValbyACO_ICC6[[#This Row],[2021 Member Months]]=0,"NA",ValbyACO_ICC6[[#This Row],[2022 Claims: Professional, Specialty Care]]/ValbyACO_ICC6[[#This Row],[2021 Claims: Professional, Specialty Care]]-1),"NA")</f>
        <v>NA</v>
      </c>
      <c r="AK78" s="162" t="str">
        <f>IFERROR(IF(ValbyACO_ICC6[[#This Row],[2021 Member Months]]=0,"NA", ValbyACO_ICC6[[#This Row],[2022 Claims: Professional Other]]/ValbyACO_ICC6[[#This Row],[2021 Claims: Professional Other]]-1),"NA")</f>
        <v>NA</v>
      </c>
      <c r="AL78" s="162" t="str">
        <f>IFERROR(IF(ValbyACO_ICC6[[#This Row],[2021 Member Months]]=0,"NA",ValbyACO_ICC6[[#This Row],[2022 Claims: Pharmacy (Gross of Retail Pharmacy Rebates)]]/ValbyACO_ICC6[[#This Row],[2021 Claims: Pharmacy (Gross of  Rebates)]]-1),"NA")</f>
        <v>NA</v>
      </c>
      <c r="AM78" s="162" t="str">
        <f>IFERROR(IF(ValbyACO_ICC6[[#This Row],[2021 Member Months]]=0,"NA",ValbyACO_ICC6[[#This Row],[2022 Claims: Long-term Care]]/ValbyACO_ICC6[[#This Row],[2021 Claims: Long-term Care]]-1),"NA")</f>
        <v>NA</v>
      </c>
      <c r="AN78" s="162" t="str">
        <f>IFERROR(IF(ValbyACO_ICC6[[#This Row],[2021 Member Months]]=0,"NA",ValbyACO_ICC6[[#This Row],[2022 Claims: Other]]/ValbyACO_ICC6[[#This Row],[2021 Claims: Other]]-1),"NA")</f>
        <v>NA</v>
      </c>
      <c r="AO78" s="163" t="str">
        <f>IFERROR(IF(ValbyACO_ICC6[[#This Row],[2021 Member Months]]=0,"NA",ValbyACO_ICC6[[#This Row],[2022 TOTAL Non-Truncated Claims Expenses]]/ValbyACO_ICC6[[#This Row],[2021 TOTAL Non-Truncated Claims Expenses]]-1),"NA")</f>
        <v>NA</v>
      </c>
      <c r="AP78" s="163" t="str">
        <f>IFERROR(IF(ValbyACO_ICC6[[#This Row],[2021 Member Months]]=0,"NA",ValbyACO_ICC6[[#This Row],[2022 TOTAL Truncated Claims Expenses]]/ValbyACO_ICC6[[#This Row],[2021 TOTAL Truncated Claims Expenses]]-1),"NA")</f>
        <v>NA</v>
      </c>
      <c r="AQ78" s="163" t="str">
        <f>IFERROR(IF(ValbyACO_ICC6[[#This Row],[2021 Member Months]]=0,"NA",ValbyACO_ICC6[[#This Row],[2022 TOTAL Non-Claims Expenses]]/ValbyACO_ICC6[[#This Row],[2021 TOTAL Non-Claims Expenses]]-1),"NA")</f>
        <v>NA</v>
      </c>
      <c r="AR78" s="163" t="str">
        <f>IFERROR(IF(ValbyACO_ICC6[[#This Row],[2021 Member Months]]=0,"NA",ValbyACO_ICC6[[#This Row],[2022 TOTAL Non-Truncated Total Expenses]]/ValbyACO_ICC6[[#This Row],[2021 TOTAL Non-Truncated Total Expenses]]-1),"NA")</f>
        <v>NA</v>
      </c>
      <c r="AS78" s="164" t="str">
        <f>IFERROR(IF(ValbyACO_ICC6[[#This Row],[2021 Member Months]]=0,"NA",ValbyACO_ICC6[[#This Row],[2022 TOTAL Truncated Total Expenses]]/ValbyACO_ICC6[[#This Row],[2021 TOTAL Truncated Total Expenses]]-1),"NA")</f>
        <v>NA</v>
      </c>
    </row>
    <row r="79" spans="1:45" x14ac:dyDescent="0.35">
      <c r="A79" s="129"/>
      <c r="B79" s="250">
        <v>102</v>
      </c>
      <c r="C79" s="291" t="s">
        <v>190</v>
      </c>
      <c r="D79" s="272">
        <f>SUMIFS(ACOAETME2021[[#All],[Member Months]], ACOAETME2021[[#All],[Insurance Category Code]], $E$76, ACOAETME2021[[#All],[ACO/AE or Insurer Overall Organization ID]], ValbyACO_ICC6[[#This Row],[Org ID]])</f>
        <v>0</v>
      </c>
      <c r="E79" s="268" t="str">
        <f>IFERROR(IF(ValbyACO_ICC6[[#This Row],[2021 Member Months]]=0,"NA",SUMIFS(ACOAETME2021[[#All],[Claims: Hospital Inpatient]], ACOAETME2021[[#All],[Insurance Category Code]], $E$76, ACOAETME2021[[#All],[ACO/AE or Insurer Overall Organization ID]], ValbyACO_ICC6[[#This Row],[Org ID]])/ValbyACO_ICC6[[#This Row],[2021 Member Months]]), "NA")</f>
        <v>NA</v>
      </c>
      <c r="F79" s="268" t="str">
        <f>IFERROR(IF(ValbyACO_ICC6[[#This Row],[2021 Member Months]]=0,"NA",SUMIFS(ACOAETME2021[[#All],[Claims: Hospital Outpatient]], ACOAETME2021[[#All],[Insurance Category Code]], $E$76, ACOAETME2021[[#All],[ACO/AE or Insurer Overall Organization ID]], ValbyACO_ICC6[[#This Row],[Org ID]])/ValbyACO_ICC6[[#This Row],[2021 Member Months]]), "NA")</f>
        <v>NA</v>
      </c>
      <c r="G79" s="268" t="str">
        <f>IFERROR(IF(ValbyACO_ICC6[[#This Row],[2021 Member Months]]=0,"NA",SUMIFS(ACOAETME2021[[#All],[Claims: Professional, Primary Care]], ACOAETME2021[[#All],[Insurance Category Code]], $E$76, ACOAETME2021[[#All],[ACO/AE or Insurer Overall Organization ID]], ValbyACO_ICC6[[#This Row],[Org ID]])/ValbyACO_ICC6[[#This Row],[2021 Member Months]]), "NA")</f>
        <v>NA</v>
      </c>
      <c r="H79" s="268" t="str">
        <f>IFERROR(IF(ValbyACO_ICC6[[#This Row],[2021 Member Months]]=0,"NA",SUMIFS(ACOAETME2021[[#All],[Claims: Professional, Specialty Care]], ACOAETME2021[[#All],[Insurance Category Code]], $E$76, ACOAETME2021[[#All],[ACO/AE or Insurer Overall Organization ID]], ValbyACO_ICC6[[#This Row],[Org ID]])/ValbyACO_ICC6[[#This Row],[2021 Member Months]]), "NA")</f>
        <v>NA</v>
      </c>
      <c r="I79" s="268" t="str">
        <f>IFERROR(IF(ValbyACO_ICC6[[#This Row],[2021 Member Months]]=0,"NA",SUMIFS(ACOAETME2021[[#All],[Claims: Professional Other]], ACOAETME2021[[#All],[Insurance Category Code]], $E$76, ACOAETME2021[[#All],[ACO/AE or Insurer Overall Organization ID]], ValbyACO_ICC6[[#This Row],[Org ID]])/ValbyACO_ICC6[[#This Row],[2021 Member Months]]), "NA")</f>
        <v>NA</v>
      </c>
      <c r="J79" s="268" t="str">
        <f>IFERROR(IF(ValbyACO_ICC6[[#This Row],[2021 Member Months]]=0,"NA",SUMIFS(ACOAETME2021[[#All],[Claims: Pharmacy]], ACOAETME2021[[#All],[Insurance Category Code]], $E$76, ACOAETME2021[[#All],[ACO/AE or Insurer Overall Organization ID]], ValbyACO_ICC6[[#This Row],[Org ID]])/ValbyACO_ICC6[[#This Row],[2021 Member Months]]), "NA")</f>
        <v>NA</v>
      </c>
      <c r="K79" s="268" t="str">
        <f>IFERROR(IF(ValbyACO_ICC6[[#This Row],[2021 Member Months]]=0,"NA",SUMIFS(ACOAETME2021[[#All],[Claims: Long-Term Care]], ACOAETME2021[[#All],[Insurance Category Code]], $E$76, ACOAETME2021[[#All],[ACO/AE or Insurer Overall Organization ID]], ValbyACO_ICC6[[#This Row],[Org ID]])/ValbyACO_ICC6[[#This Row],[2021 Member Months]]), "NA")</f>
        <v>NA</v>
      </c>
      <c r="L79" s="268" t="str">
        <f>IFERROR(IF(ValbyACO_ICC6[[#This Row],[2021 Member Months]]=0,"NA",SUMIFS(ACOAETME2021[[#All],[Claims: Other]], ACOAETME2021[[#All],[Insurance Category Code]], $E$76, ACOAETME2021[[#All],[ACO/AE or Insurer Overall Organization ID]], ValbyACO_ICC6[[#This Row],[Org ID]])/ValbyACO_ICC6[[#This Row],[2021 Member Months]]), "NA")</f>
        <v>NA</v>
      </c>
      <c r="M79" s="118" t="str">
        <f>IF(ValbyACO_ICC6[[#This Row],[2021 Member Months]]=0,"NA",SUMIFS(ACOAETME2021[[#All],[TOTAL Non-Truncated Unadjusted Claims Expenses]], ACOAETME2021[[#All],[Insurance Category Code]], $E$76, ACOAETME2021[[#All],[ACO/AE or Insurer Overall Organization ID]], ValbyACO_ICC6[[#This Row],[Org ID]])/ValbyACO_ICC6[[#This Row],[2021 Member Months]])</f>
        <v>NA</v>
      </c>
      <c r="N79" s="118" t="str">
        <f>IF(ValbyACO_ICC6[[#This Row],[2021 Member Months]]=0,"NA",SUMIFS(ACOAETME2021[[#All],[TOTAL Truncated Unadjusted Claims Expenses (A19 - A17)]], ACOAETME2021[[#All],[Insurance Category Code]], $E$76, ACOAETME2021[[#All],[ACO/AE or Insurer Overall Organization ID]], ValbyACO_ICC6[[#This Row],[Org ID]])/ValbyACO_ICC6[[#This Row],[2021 Member Months]])</f>
        <v>NA</v>
      </c>
      <c r="O79" s="118" t="str">
        <f>IF(ValbyACO_ICC6[[#This Row],[2021 Member Months]]=0,"NA",SUMIFS(ACOAETME2021[[#All],[TOTAL Non-Claims Expenses]], ACOAETME2021[[#All],[Insurance Category Code]], $E$76, ACOAETME2021[[#All],[ACO/AE or Insurer Overall Organization ID]], ValbyACO_ICC6[[#This Row],[Org ID]])/ValbyACO_ICC6[[#This Row],[2021 Member Months]])</f>
        <v>NA</v>
      </c>
      <c r="P79" s="268" t="str">
        <f>IF(ValbyACO_ICC6[[#This Row],[2021 Member Months]]=0, "NA", SUMIFS(ACOAETME2021[[#All],[TOTAL Non-Truncated Unadjusted Expenses 
(A19+A21)]], ACOAETME2021[[#All],[Insurance Category Code]], $E$76, ACOAETME2021[[#All],[ACO/AE or Insurer Overall Organization ID]], ValbyACO_ICC6[[#This Row],[Org ID]])/ValbyACO_ICC6[[#This Row],[2021 Member Months]])</f>
        <v>NA</v>
      </c>
      <c r="Q79" s="119" t="str">
        <f>IF(ValbyACO_ICC6[[#This Row],[2021 Member Months]]=0, "NA", SUMIFS(ACOAETME2021[[#All],[TOTAL Truncated Unadjusted Expenses (A20+A21)]], ACOAETME2021[[#All],[Insurance Category Code]], $E$76, ACOAETME2021[[#All],[ACO/AE or Insurer Overall Organization ID]], ValbyACO_ICC6[[#This Row],[Org ID]])/ValbyACO_ICC6[[#This Row],[2021 Member Months]])</f>
        <v>NA</v>
      </c>
      <c r="R79" s="272">
        <f>SUMIFS(ACOAETME2022[[#All],[Member Months]],ACOAETME2022[[#All],[Insurance Category Code]], $E$76,ACOAETME2022[[#All],[ACO/AE or Insurer Overall Organization ID]],ValbyACO_ICC6[[#This Row],[Org ID]])</f>
        <v>0</v>
      </c>
      <c r="S79" s="118" t="str">
        <f>IF(ValbyACO_ICC6[[#This Row],[2022 Member Months]]=0,"NA",SUMIFS(ACOAETME2022[[#All],[Claims: Hospital Inpatient]],ACOAETME2022[[#All],[Insurance Category Code]], $E$76,ACOAETME2022[[#All],[ACO/AE or Insurer Overall Organization ID]],ValbyACO_ICC6[[#This Row],[Org ID]])/ValbyACO_ICC6[[#This Row],[2022 Member Months]])</f>
        <v>NA</v>
      </c>
      <c r="T79" s="118" t="str">
        <f>IF(ValbyACO_ICC6[[#This Row],[2022 Member Months]]=0,"NA",SUMIFS(ACOAETME2022[[#All],[Claims: Hospital Outpatient]],ACOAETME2022[[#All],[Insurance Category Code]], $E$76,ACOAETME2022[[#All],[ACO/AE or Insurer Overall Organization ID]],ValbyACO_ICC6[[#This Row],[Org ID]])/ValbyACO_ICC6[[#This Row],[2022 Member Months]])</f>
        <v>NA</v>
      </c>
      <c r="U79" s="118" t="str">
        <f>IF(ValbyACO_ICC6[[#This Row],[2022 Member Months]]=0,"NA",SUMIFS(ACOAETME2022[[#All],[Claims: Professional, Primary Care]],ACOAETME2022[[#All],[Insurance Category Code]], $E$76,ACOAETME2022[[#All],[ACO/AE or Insurer Overall Organization ID]],ValbyACO_ICC6[[#This Row],[Org ID]])/ValbyACO_ICC6[[#This Row],[2022 Member Months]])</f>
        <v>NA</v>
      </c>
      <c r="V79" s="118" t="str">
        <f>IF(ValbyACO_ICC6[[#This Row],[2022 Member Months]]=0,"NA",SUMIFS(ACOAETME2022[[#All],[Claims: Professional, Specialty Care]],ACOAETME2022[[#All],[Insurance Category Code]], $E$76,ACOAETME2022[[#All],[ACO/AE or Insurer Overall Organization ID]],ValbyACO_ICC6[[#This Row],[Org ID]])/ValbyACO_ICC6[[#This Row],[2022 Member Months]])</f>
        <v>NA</v>
      </c>
      <c r="W79" s="118" t="str">
        <f>IF(ValbyACO_ICC6[[#This Row],[2022 Member Months]]=0,"NA",SUMIFS(ACOAETME2022[[#All],[Claims: Professional Other]],ACOAETME2022[[#All],[Insurance Category Code]], $E$76,ACOAETME2022[[#All],[ACO/AE or Insurer Overall Organization ID]],ValbyACO_ICC6[[#This Row],[Org ID]])/ValbyACO_ICC6[[#This Row],[2022 Member Months]])</f>
        <v>NA</v>
      </c>
      <c r="X79" s="118" t="str">
        <f>IF(ValbyACO_ICC6[[#This Row],[2022 Member Months]]=0,"NA",SUMIFS(ACOAETME2022[[#All],[Claims: Pharmacy]],ACOAETME2022[[#All],[Insurance Category Code]], $E$76,ACOAETME2022[[#All],[ACO/AE or Insurer Overall Organization ID]],ValbyACO_ICC6[[#This Row],[Org ID]])/ValbyACO_ICC6[[#This Row],[2022 Member Months]])</f>
        <v>NA</v>
      </c>
      <c r="Y79" s="118" t="str">
        <f>IF(ValbyACO_ICC6[[#This Row],[2022 Member Months]]=0,"NA",SUMIFS(ACOAETME2022[[#All],[Claims: Long-Term Care]],ACOAETME2022[[#All],[Insurance Category Code]], $E$76,ACOAETME2022[[#All],[ACO/AE or Insurer Overall Organization ID]],ValbyACO_ICC6[[#This Row],[Org ID]])/ValbyACO_ICC6[[#This Row],[2022 Member Months]])</f>
        <v>NA</v>
      </c>
      <c r="Z79" s="118" t="str">
        <f>IF(ValbyACO_ICC6[[#This Row],[2022 Member Months]]=0,"NA",SUMIFS(ACOAETME2022[[#All],[Claims: Other]],ACOAETME2022[[#All],[Insurance Category Code]], $E$76,ACOAETME2022[[#All],[ACO/AE or Insurer Overall Organization ID]],ValbyACO_ICC6[[#This Row],[Org ID]])/ValbyACO_ICC6[[#This Row],[2022 Member Months]])</f>
        <v>NA</v>
      </c>
      <c r="AA79" s="118" t="str">
        <f>IF(ValbyACO_ICC6[[#This Row],[2022 Member Months]]=0,"NA",SUMIFS(ACOAETME2022[[#All],[TOTAL Non-Truncated Unadjusted Claims Expenses]],ACOAETME2022[[#All],[Insurance Category Code]], $E$76,ACOAETME2022[[#All],[ACO/AE or Insurer Overall Organization ID]],ValbyACO_ICC6[[#This Row],[Org ID]])/ValbyACO_ICC6[[#This Row],[2022 Member Months]])</f>
        <v>NA</v>
      </c>
      <c r="AB79" s="118" t="str">
        <f>IF(ValbyACO_ICC6[[#This Row],[2022 Member Months]]=0,"NA",SUMIFS(ACOAETME2022[[#All],[TOTAL Truncated Unadjusted Expenses (A20+A21)]],ACOAETME2022[[#All],[Insurance Category Code]], $E$76,ACOAETME2022[[#All],[ACO/AE or Insurer Overall Organization ID]],ValbyACO_ICC6[[#This Row],[Org ID]])/ValbyACO_ICC6[[#This Row],[2022 Member Months]])</f>
        <v>NA</v>
      </c>
      <c r="AC79" s="118" t="str">
        <f>IF(ValbyACO_ICC6[[#This Row],[2022 Member Months]]=0,"NA",SUMIFS(ACOAETME2022[[#All],[TOTAL Non-Claims Expenses]],ACOAETME2022[[#All],[Insurance Category Code]], $E$76,ACOAETME2022[[#All],[ACO/AE or Insurer Overall Organization ID]],ValbyACO_ICC6[[#This Row],[Org ID]])/ValbyACO_ICC6[[#This Row],[2022 Member Months]])</f>
        <v>NA</v>
      </c>
      <c r="AD79" s="268" t="str">
        <f>IF(ValbyACO_ICC6[[#This Row],[2022 Member Months]]=0,"NA",SUMIFS(ACOAETME2022[[#All],[TOTAL Non-Truncated Unadjusted Expenses 
(A19+A21)]],ACOAETME2022[[#All],[Insurance Category Code]], $E$76,ACOAETME2022[[#All],[ACO/AE or Insurer Overall Organization ID]],ValbyACO_ICC6[[#This Row],[Org ID]])/ValbyACO_ICC6[[#This Row],[2022 Member Months]])</f>
        <v>NA</v>
      </c>
      <c r="AE79" s="119" t="str">
        <f>IF(ValbyACO_ICC6[[#This Row],[2022 Member Months]]=0,"NA",SUMIFS(ACOAETME2022[[#All],[TOTAL Truncated Unadjusted Expenses (A20+A21)]],ACOAETME2022[[#All],[Insurance Category Code]],$E$76,ACOAETME2022[[#All],[ACO/AE or Insurer Overall Organization ID]],ValbyACO_ICC6[[#This Row],[Org ID]])/ValbyACO_ICC6[[#This Row],[2022 Member Months]])</f>
        <v>NA</v>
      </c>
      <c r="AF79" s="160" t="str">
        <f>IFERROR(IF(ValbyACO_ICC6[[#This Row],[2021 Member Months]]=0,"NA",ValbyACO_ICC6[[#This Row],[2022 Member Months]]/ValbyACO_ICC6[[#This Row],[2021 Member Months]]-1),"NA")</f>
        <v>NA</v>
      </c>
      <c r="AG79" s="161" t="str">
        <f>IFERROR(IF(ValbyACO_ICC6[[#This Row],[2021 Member Months]]=0,"NA",ValbyACO_ICC6[[#This Row],[2022 Claims: Hospital Inpatient]]/ValbyACO_ICC6[[#This Row],[2021 Claims: Hospital Inpatient]]-1),"NA")</f>
        <v>NA</v>
      </c>
      <c r="AH79" s="162" t="str">
        <f>IFERROR(IF(ValbyACO_ICC6[[#This Row],[2021 Member Months]]=0,"NA",ValbyACO_ICC6[[#This Row],[2022 Claims: Hospital Outpatient]]/ValbyACO_ICC6[[#This Row],[2021 Claims: Hospital Outpatient]]-1),"NA")</f>
        <v>NA</v>
      </c>
      <c r="AI79" s="162" t="str">
        <f>IFERROR(IF(ValbyACO_ICC6[[#This Row],[2021 Member Months]]=0,"NA",ValbyACO_ICC6[[#This Row],[2022 Claims: Professional, Primary Care]]/ValbyACO_ICC6[[#This Row],[2021 Claims: Professional, Primary Care]]-1),"NA")</f>
        <v>NA</v>
      </c>
      <c r="AJ79" s="162" t="str">
        <f>IFERROR(IF(ValbyACO_ICC6[[#This Row],[2021 Member Months]]=0,"NA",ValbyACO_ICC6[[#This Row],[2022 Claims: Professional, Specialty Care]]/ValbyACO_ICC6[[#This Row],[2021 Claims: Professional, Specialty Care]]-1),"NA")</f>
        <v>NA</v>
      </c>
      <c r="AK79" s="162" t="str">
        <f>IFERROR(IF(ValbyACO_ICC6[[#This Row],[2021 Member Months]]=0,"NA", ValbyACO_ICC6[[#This Row],[2022 Claims: Professional Other]]/ValbyACO_ICC6[[#This Row],[2021 Claims: Professional Other]]-1),"NA")</f>
        <v>NA</v>
      </c>
      <c r="AL79" s="162" t="str">
        <f>IFERROR(IF(ValbyACO_ICC6[[#This Row],[2021 Member Months]]=0,"NA",ValbyACO_ICC6[[#This Row],[2022 Claims: Pharmacy (Gross of Retail Pharmacy Rebates)]]/ValbyACO_ICC6[[#This Row],[2021 Claims: Pharmacy (Gross of  Rebates)]]-1),"NA")</f>
        <v>NA</v>
      </c>
      <c r="AM79" s="162" t="str">
        <f>IFERROR(IF(ValbyACO_ICC6[[#This Row],[2021 Member Months]]=0,"NA",ValbyACO_ICC6[[#This Row],[2022 Claims: Long-term Care]]/ValbyACO_ICC6[[#This Row],[2021 Claims: Long-term Care]]-1),"NA")</f>
        <v>NA</v>
      </c>
      <c r="AN79" s="162" t="str">
        <f>IFERROR(IF(ValbyACO_ICC6[[#This Row],[2021 Member Months]]=0,"NA",ValbyACO_ICC6[[#This Row],[2022 Claims: Other]]/ValbyACO_ICC6[[#This Row],[2021 Claims: Other]]-1),"NA")</f>
        <v>NA</v>
      </c>
      <c r="AO79" s="163" t="str">
        <f>IFERROR(IF(ValbyACO_ICC6[[#This Row],[2021 Member Months]]=0,"NA",ValbyACO_ICC6[[#This Row],[2022 TOTAL Non-Truncated Claims Expenses]]/ValbyACO_ICC6[[#This Row],[2021 TOTAL Non-Truncated Claims Expenses]]-1),"NA")</f>
        <v>NA</v>
      </c>
      <c r="AP79" s="163" t="str">
        <f>IFERROR(IF(ValbyACO_ICC6[[#This Row],[2021 Member Months]]=0,"NA",ValbyACO_ICC6[[#This Row],[2022 TOTAL Truncated Claims Expenses]]/ValbyACO_ICC6[[#This Row],[2021 TOTAL Truncated Claims Expenses]]-1),"NA")</f>
        <v>NA</v>
      </c>
      <c r="AQ79" s="163" t="str">
        <f>IFERROR(IF(ValbyACO_ICC6[[#This Row],[2021 Member Months]]=0,"NA",ValbyACO_ICC6[[#This Row],[2022 TOTAL Non-Claims Expenses]]/ValbyACO_ICC6[[#This Row],[2021 TOTAL Non-Claims Expenses]]-1),"NA")</f>
        <v>NA</v>
      </c>
      <c r="AR79" s="163" t="str">
        <f>IFERROR(IF(ValbyACO_ICC6[[#This Row],[2021 Member Months]]=0,"NA",ValbyACO_ICC6[[#This Row],[2022 TOTAL Non-Truncated Total Expenses]]/ValbyACO_ICC6[[#This Row],[2021 TOTAL Non-Truncated Total Expenses]]-1),"NA")</f>
        <v>NA</v>
      </c>
      <c r="AS79" s="164" t="str">
        <f>IFERROR(IF(ValbyACO_ICC6[[#This Row],[2021 Member Months]]=0,"NA",ValbyACO_ICC6[[#This Row],[2022 TOTAL Truncated Total Expenses]]/ValbyACO_ICC6[[#This Row],[2021 TOTAL Truncated Total Expenses]]-1),"NA")</f>
        <v>NA</v>
      </c>
    </row>
    <row r="80" spans="1:45" x14ac:dyDescent="0.35">
      <c r="A80" s="129"/>
      <c r="B80" s="250">
        <v>103</v>
      </c>
      <c r="C80" s="291" t="s">
        <v>168</v>
      </c>
      <c r="D80" s="272">
        <f>SUMIFS(ACOAETME2021[[#All],[Member Months]], ACOAETME2021[[#All],[Insurance Category Code]], $E$76, ACOAETME2021[[#All],[ACO/AE or Insurer Overall Organization ID]], ValbyACO_ICC6[[#This Row],[Org ID]])</f>
        <v>0</v>
      </c>
      <c r="E80" s="268" t="str">
        <f>IFERROR(IF(ValbyACO_ICC6[[#This Row],[2021 Member Months]]=0,"NA",SUMIFS(ACOAETME2021[[#All],[Claims: Hospital Inpatient]], ACOAETME2021[[#All],[Insurance Category Code]], $E$76, ACOAETME2021[[#All],[ACO/AE or Insurer Overall Organization ID]], ValbyACO_ICC6[[#This Row],[Org ID]])/ValbyACO_ICC6[[#This Row],[2021 Member Months]]), "NA")</f>
        <v>NA</v>
      </c>
      <c r="F80" s="268" t="str">
        <f>IFERROR(IF(ValbyACO_ICC6[[#This Row],[2021 Member Months]]=0,"NA",SUMIFS(ACOAETME2021[[#All],[Claims: Hospital Outpatient]], ACOAETME2021[[#All],[Insurance Category Code]], $E$76, ACOAETME2021[[#All],[ACO/AE or Insurer Overall Organization ID]], ValbyACO_ICC6[[#This Row],[Org ID]])/ValbyACO_ICC6[[#This Row],[2021 Member Months]]), "NA")</f>
        <v>NA</v>
      </c>
      <c r="G80" s="268" t="str">
        <f>IFERROR(IF(ValbyACO_ICC6[[#This Row],[2021 Member Months]]=0,"NA",SUMIFS(ACOAETME2021[[#All],[Claims: Professional, Primary Care]], ACOAETME2021[[#All],[Insurance Category Code]], $E$76, ACOAETME2021[[#All],[ACO/AE or Insurer Overall Organization ID]], ValbyACO_ICC6[[#This Row],[Org ID]])/ValbyACO_ICC6[[#This Row],[2021 Member Months]]), "NA")</f>
        <v>NA</v>
      </c>
      <c r="H80" s="268" t="str">
        <f>IFERROR(IF(ValbyACO_ICC6[[#This Row],[2021 Member Months]]=0,"NA",SUMIFS(ACOAETME2021[[#All],[Claims: Professional, Specialty Care]], ACOAETME2021[[#All],[Insurance Category Code]], $E$76, ACOAETME2021[[#All],[ACO/AE or Insurer Overall Organization ID]], ValbyACO_ICC6[[#This Row],[Org ID]])/ValbyACO_ICC6[[#This Row],[2021 Member Months]]), "NA")</f>
        <v>NA</v>
      </c>
      <c r="I80" s="268" t="str">
        <f>IFERROR(IF(ValbyACO_ICC6[[#This Row],[2021 Member Months]]=0,"NA",SUMIFS(ACOAETME2021[[#All],[Claims: Professional Other]], ACOAETME2021[[#All],[Insurance Category Code]], $E$76, ACOAETME2021[[#All],[ACO/AE or Insurer Overall Organization ID]], ValbyACO_ICC6[[#This Row],[Org ID]])/ValbyACO_ICC6[[#This Row],[2021 Member Months]]), "NA")</f>
        <v>NA</v>
      </c>
      <c r="J80" s="268" t="str">
        <f>IFERROR(IF(ValbyACO_ICC6[[#This Row],[2021 Member Months]]=0,"NA",SUMIFS(ACOAETME2021[[#All],[Claims: Pharmacy]], ACOAETME2021[[#All],[Insurance Category Code]], $E$76, ACOAETME2021[[#All],[ACO/AE or Insurer Overall Organization ID]], ValbyACO_ICC6[[#This Row],[Org ID]])/ValbyACO_ICC6[[#This Row],[2021 Member Months]]), "NA")</f>
        <v>NA</v>
      </c>
      <c r="K80" s="268" t="str">
        <f>IFERROR(IF(ValbyACO_ICC6[[#This Row],[2021 Member Months]]=0,"NA",SUMIFS(ACOAETME2021[[#All],[Claims: Long-Term Care]], ACOAETME2021[[#All],[Insurance Category Code]], $E$76, ACOAETME2021[[#All],[ACO/AE or Insurer Overall Organization ID]], ValbyACO_ICC6[[#This Row],[Org ID]])/ValbyACO_ICC6[[#This Row],[2021 Member Months]]), "NA")</f>
        <v>NA</v>
      </c>
      <c r="L80" s="268" t="str">
        <f>IFERROR(IF(ValbyACO_ICC6[[#This Row],[2021 Member Months]]=0,"NA",SUMIFS(ACOAETME2021[[#All],[Claims: Other]], ACOAETME2021[[#All],[Insurance Category Code]], $E$76, ACOAETME2021[[#All],[ACO/AE or Insurer Overall Organization ID]], ValbyACO_ICC6[[#This Row],[Org ID]])/ValbyACO_ICC6[[#This Row],[2021 Member Months]]), "NA")</f>
        <v>NA</v>
      </c>
      <c r="M80" s="118" t="str">
        <f>IF(ValbyACO_ICC6[[#This Row],[2021 Member Months]]=0,"NA",SUMIFS(ACOAETME2021[[#All],[TOTAL Non-Truncated Unadjusted Claims Expenses]], ACOAETME2021[[#All],[Insurance Category Code]], $E$76, ACOAETME2021[[#All],[ACO/AE or Insurer Overall Organization ID]], ValbyACO_ICC6[[#This Row],[Org ID]])/ValbyACO_ICC6[[#This Row],[2021 Member Months]])</f>
        <v>NA</v>
      </c>
      <c r="N80" s="118" t="str">
        <f>IF(ValbyACO_ICC6[[#This Row],[2021 Member Months]]=0,"NA",SUMIFS(ACOAETME2021[[#All],[TOTAL Truncated Unadjusted Claims Expenses (A19 - A17)]], ACOAETME2021[[#All],[Insurance Category Code]], $E$76, ACOAETME2021[[#All],[ACO/AE or Insurer Overall Organization ID]], ValbyACO_ICC6[[#This Row],[Org ID]])/ValbyACO_ICC6[[#This Row],[2021 Member Months]])</f>
        <v>NA</v>
      </c>
      <c r="O80" s="118" t="str">
        <f>IF(ValbyACO_ICC6[[#This Row],[2021 Member Months]]=0,"NA",SUMIFS(ACOAETME2021[[#All],[TOTAL Non-Claims Expenses]], ACOAETME2021[[#All],[Insurance Category Code]], $E$76, ACOAETME2021[[#All],[ACO/AE or Insurer Overall Organization ID]], ValbyACO_ICC6[[#This Row],[Org ID]])/ValbyACO_ICC6[[#This Row],[2021 Member Months]])</f>
        <v>NA</v>
      </c>
      <c r="P80" s="268" t="str">
        <f>IF(ValbyACO_ICC6[[#This Row],[2021 Member Months]]=0, "NA", SUMIFS(ACOAETME2021[[#All],[TOTAL Non-Truncated Unadjusted Expenses 
(A19+A21)]], ACOAETME2021[[#All],[Insurance Category Code]], $E$76, ACOAETME2021[[#All],[ACO/AE or Insurer Overall Organization ID]], ValbyACO_ICC6[[#This Row],[Org ID]])/ValbyACO_ICC6[[#This Row],[2021 Member Months]])</f>
        <v>NA</v>
      </c>
      <c r="Q80" s="119" t="str">
        <f>IF(ValbyACO_ICC6[[#This Row],[2021 Member Months]]=0, "NA", SUMIFS(ACOAETME2021[[#All],[TOTAL Truncated Unadjusted Expenses (A20+A21)]], ACOAETME2021[[#All],[Insurance Category Code]], $E$76, ACOAETME2021[[#All],[ACO/AE or Insurer Overall Organization ID]], ValbyACO_ICC6[[#This Row],[Org ID]])/ValbyACO_ICC6[[#This Row],[2021 Member Months]])</f>
        <v>NA</v>
      </c>
      <c r="R80" s="272">
        <f>SUMIFS(ACOAETME2022[[#All],[Member Months]],ACOAETME2022[[#All],[Insurance Category Code]], $E$76,ACOAETME2022[[#All],[ACO/AE or Insurer Overall Organization ID]],ValbyACO_ICC6[[#This Row],[Org ID]])</f>
        <v>0</v>
      </c>
      <c r="S80" s="118" t="str">
        <f>IF(ValbyACO_ICC6[[#This Row],[2022 Member Months]]=0,"NA",SUMIFS(ACOAETME2022[[#All],[Claims: Hospital Inpatient]],ACOAETME2022[[#All],[Insurance Category Code]], $E$76,ACOAETME2022[[#All],[ACO/AE or Insurer Overall Organization ID]],ValbyACO_ICC6[[#This Row],[Org ID]])/ValbyACO_ICC6[[#This Row],[2022 Member Months]])</f>
        <v>NA</v>
      </c>
      <c r="T80" s="118" t="str">
        <f>IF(ValbyACO_ICC6[[#This Row],[2022 Member Months]]=0,"NA",SUMIFS(ACOAETME2022[[#All],[Claims: Hospital Outpatient]],ACOAETME2022[[#All],[Insurance Category Code]], $E$76,ACOAETME2022[[#All],[ACO/AE or Insurer Overall Organization ID]],ValbyACO_ICC6[[#This Row],[Org ID]])/ValbyACO_ICC6[[#This Row],[2022 Member Months]])</f>
        <v>NA</v>
      </c>
      <c r="U80" s="118" t="str">
        <f>IF(ValbyACO_ICC6[[#This Row],[2022 Member Months]]=0,"NA",SUMIFS(ACOAETME2022[[#All],[Claims: Professional, Primary Care]],ACOAETME2022[[#All],[Insurance Category Code]], $E$76,ACOAETME2022[[#All],[ACO/AE or Insurer Overall Organization ID]],ValbyACO_ICC6[[#This Row],[Org ID]])/ValbyACO_ICC6[[#This Row],[2022 Member Months]])</f>
        <v>NA</v>
      </c>
      <c r="V80" s="118" t="str">
        <f>IF(ValbyACO_ICC6[[#This Row],[2022 Member Months]]=0,"NA",SUMIFS(ACOAETME2022[[#All],[Claims: Professional, Specialty Care]],ACOAETME2022[[#All],[Insurance Category Code]], $E$76,ACOAETME2022[[#All],[ACO/AE or Insurer Overall Organization ID]],ValbyACO_ICC6[[#This Row],[Org ID]])/ValbyACO_ICC6[[#This Row],[2022 Member Months]])</f>
        <v>NA</v>
      </c>
      <c r="W80" s="118" t="str">
        <f>IF(ValbyACO_ICC6[[#This Row],[2022 Member Months]]=0,"NA",SUMIFS(ACOAETME2022[[#All],[Claims: Professional Other]],ACOAETME2022[[#All],[Insurance Category Code]], $E$76,ACOAETME2022[[#All],[ACO/AE or Insurer Overall Organization ID]],ValbyACO_ICC6[[#This Row],[Org ID]])/ValbyACO_ICC6[[#This Row],[2022 Member Months]])</f>
        <v>NA</v>
      </c>
      <c r="X80" s="118" t="str">
        <f>IF(ValbyACO_ICC6[[#This Row],[2022 Member Months]]=0,"NA",SUMIFS(ACOAETME2022[[#All],[Claims: Pharmacy]],ACOAETME2022[[#All],[Insurance Category Code]], $E$76,ACOAETME2022[[#All],[ACO/AE or Insurer Overall Organization ID]],ValbyACO_ICC6[[#This Row],[Org ID]])/ValbyACO_ICC6[[#This Row],[2022 Member Months]])</f>
        <v>NA</v>
      </c>
      <c r="Y80" s="118" t="str">
        <f>IF(ValbyACO_ICC6[[#This Row],[2022 Member Months]]=0,"NA",SUMIFS(ACOAETME2022[[#All],[Claims: Long-Term Care]],ACOAETME2022[[#All],[Insurance Category Code]], $E$76,ACOAETME2022[[#All],[ACO/AE or Insurer Overall Organization ID]],ValbyACO_ICC6[[#This Row],[Org ID]])/ValbyACO_ICC6[[#This Row],[2022 Member Months]])</f>
        <v>NA</v>
      </c>
      <c r="Z80" s="118" t="str">
        <f>IF(ValbyACO_ICC6[[#This Row],[2022 Member Months]]=0,"NA",SUMIFS(ACOAETME2022[[#All],[Claims: Other]],ACOAETME2022[[#All],[Insurance Category Code]], $E$76,ACOAETME2022[[#All],[ACO/AE or Insurer Overall Organization ID]],ValbyACO_ICC6[[#This Row],[Org ID]])/ValbyACO_ICC6[[#This Row],[2022 Member Months]])</f>
        <v>NA</v>
      </c>
      <c r="AA80" s="118" t="str">
        <f>IF(ValbyACO_ICC6[[#This Row],[2022 Member Months]]=0,"NA",SUMIFS(ACOAETME2022[[#All],[TOTAL Non-Truncated Unadjusted Claims Expenses]],ACOAETME2022[[#All],[Insurance Category Code]], $E$76,ACOAETME2022[[#All],[ACO/AE or Insurer Overall Organization ID]],ValbyACO_ICC6[[#This Row],[Org ID]])/ValbyACO_ICC6[[#This Row],[2022 Member Months]])</f>
        <v>NA</v>
      </c>
      <c r="AB80" s="118" t="str">
        <f>IF(ValbyACO_ICC6[[#This Row],[2022 Member Months]]=0,"NA",SUMIFS(ACOAETME2022[[#All],[TOTAL Truncated Unadjusted Expenses (A20+A21)]],ACOAETME2022[[#All],[Insurance Category Code]], $E$76,ACOAETME2022[[#All],[ACO/AE or Insurer Overall Organization ID]],ValbyACO_ICC6[[#This Row],[Org ID]])/ValbyACO_ICC6[[#This Row],[2022 Member Months]])</f>
        <v>NA</v>
      </c>
      <c r="AC80" s="118" t="str">
        <f>IF(ValbyACO_ICC6[[#This Row],[2022 Member Months]]=0,"NA",SUMIFS(ACOAETME2022[[#All],[TOTAL Non-Claims Expenses]],ACOAETME2022[[#All],[Insurance Category Code]], $E$76,ACOAETME2022[[#All],[ACO/AE or Insurer Overall Organization ID]],ValbyACO_ICC6[[#This Row],[Org ID]])/ValbyACO_ICC6[[#This Row],[2022 Member Months]])</f>
        <v>NA</v>
      </c>
      <c r="AD80" s="268" t="str">
        <f>IF(ValbyACO_ICC6[[#This Row],[2022 Member Months]]=0,"NA",SUMIFS(ACOAETME2022[[#All],[TOTAL Non-Truncated Unadjusted Expenses 
(A19+A21)]],ACOAETME2022[[#All],[Insurance Category Code]], $E$76,ACOAETME2022[[#All],[ACO/AE or Insurer Overall Organization ID]],ValbyACO_ICC6[[#This Row],[Org ID]])/ValbyACO_ICC6[[#This Row],[2022 Member Months]])</f>
        <v>NA</v>
      </c>
      <c r="AE80" s="119" t="str">
        <f>IF(ValbyACO_ICC6[[#This Row],[2022 Member Months]]=0,"NA",SUMIFS(ACOAETME2022[[#All],[TOTAL Truncated Unadjusted Expenses (A20+A21)]],ACOAETME2022[[#All],[Insurance Category Code]],$E$76,ACOAETME2022[[#All],[ACO/AE or Insurer Overall Organization ID]],ValbyACO_ICC6[[#This Row],[Org ID]])/ValbyACO_ICC6[[#This Row],[2022 Member Months]])</f>
        <v>NA</v>
      </c>
      <c r="AF80" s="160" t="str">
        <f>IFERROR(IF(ValbyACO_ICC6[[#This Row],[2021 Member Months]]=0,"NA",ValbyACO_ICC6[[#This Row],[2022 Member Months]]/ValbyACO_ICC6[[#This Row],[2021 Member Months]]-1),"NA")</f>
        <v>NA</v>
      </c>
      <c r="AG80" s="161" t="str">
        <f>IFERROR(IF(ValbyACO_ICC6[[#This Row],[2021 Member Months]]=0,"NA",ValbyACO_ICC6[[#This Row],[2022 Claims: Hospital Inpatient]]/ValbyACO_ICC6[[#This Row],[2021 Claims: Hospital Inpatient]]-1),"NA")</f>
        <v>NA</v>
      </c>
      <c r="AH80" s="162" t="str">
        <f>IFERROR(IF(ValbyACO_ICC6[[#This Row],[2021 Member Months]]=0,"NA",ValbyACO_ICC6[[#This Row],[2022 Claims: Hospital Outpatient]]/ValbyACO_ICC6[[#This Row],[2021 Claims: Hospital Outpatient]]-1),"NA")</f>
        <v>NA</v>
      </c>
      <c r="AI80" s="162" t="str">
        <f>IFERROR(IF(ValbyACO_ICC6[[#This Row],[2021 Member Months]]=0,"NA",ValbyACO_ICC6[[#This Row],[2022 Claims: Professional, Primary Care]]/ValbyACO_ICC6[[#This Row],[2021 Claims: Professional, Primary Care]]-1),"NA")</f>
        <v>NA</v>
      </c>
      <c r="AJ80" s="162" t="str">
        <f>IFERROR(IF(ValbyACO_ICC6[[#This Row],[2021 Member Months]]=0,"NA",ValbyACO_ICC6[[#This Row],[2022 Claims: Professional, Specialty Care]]/ValbyACO_ICC6[[#This Row],[2021 Claims: Professional, Specialty Care]]-1),"NA")</f>
        <v>NA</v>
      </c>
      <c r="AK80" s="162" t="str">
        <f>IFERROR(IF(ValbyACO_ICC6[[#This Row],[2021 Member Months]]=0,"NA", ValbyACO_ICC6[[#This Row],[2022 Claims: Professional Other]]/ValbyACO_ICC6[[#This Row],[2021 Claims: Professional Other]]-1),"NA")</f>
        <v>NA</v>
      </c>
      <c r="AL80" s="162" t="str">
        <f>IFERROR(IF(ValbyACO_ICC6[[#This Row],[2021 Member Months]]=0,"NA",ValbyACO_ICC6[[#This Row],[2022 Claims: Pharmacy (Gross of Retail Pharmacy Rebates)]]/ValbyACO_ICC6[[#This Row],[2021 Claims: Pharmacy (Gross of  Rebates)]]-1),"NA")</f>
        <v>NA</v>
      </c>
      <c r="AM80" s="162" t="str">
        <f>IFERROR(IF(ValbyACO_ICC6[[#This Row],[2021 Member Months]]=0,"NA",ValbyACO_ICC6[[#This Row],[2022 Claims: Long-term Care]]/ValbyACO_ICC6[[#This Row],[2021 Claims: Long-term Care]]-1),"NA")</f>
        <v>NA</v>
      </c>
      <c r="AN80" s="162" t="str">
        <f>IFERROR(IF(ValbyACO_ICC6[[#This Row],[2021 Member Months]]=0,"NA",ValbyACO_ICC6[[#This Row],[2022 Claims: Other]]/ValbyACO_ICC6[[#This Row],[2021 Claims: Other]]-1),"NA")</f>
        <v>NA</v>
      </c>
      <c r="AO80" s="163" t="str">
        <f>IFERROR(IF(ValbyACO_ICC6[[#This Row],[2021 Member Months]]=0,"NA",ValbyACO_ICC6[[#This Row],[2022 TOTAL Non-Truncated Claims Expenses]]/ValbyACO_ICC6[[#This Row],[2021 TOTAL Non-Truncated Claims Expenses]]-1),"NA")</f>
        <v>NA</v>
      </c>
      <c r="AP80" s="163" t="str">
        <f>IFERROR(IF(ValbyACO_ICC6[[#This Row],[2021 Member Months]]=0,"NA",ValbyACO_ICC6[[#This Row],[2022 TOTAL Truncated Claims Expenses]]/ValbyACO_ICC6[[#This Row],[2021 TOTAL Truncated Claims Expenses]]-1),"NA")</f>
        <v>NA</v>
      </c>
      <c r="AQ80" s="163" t="str">
        <f>IFERROR(IF(ValbyACO_ICC6[[#This Row],[2021 Member Months]]=0,"NA",ValbyACO_ICC6[[#This Row],[2022 TOTAL Non-Claims Expenses]]/ValbyACO_ICC6[[#This Row],[2021 TOTAL Non-Claims Expenses]]-1),"NA")</f>
        <v>NA</v>
      </c>
      <c r="AR80" s="163" t="str">
        <f>IFERROR(IF(ValbyACO_ICC6[[#This Row],[2021 Member Months]]=0,"NA",ValbyACO_ICC6[[#This Row],[2022 TOTAL Non-Truncated Total Expenses]]/ValbyACO_ICC6[[#This Row],[2021 TOTAL Non-Truncated Total Expenses]]-1),"NA")</f>
        <v>NA</v>
      </c>
      <c r="AS80" s="164" t="str">
        <f>IFERROR(IF(ValbyACO_ICC6[[#This Row],[2021 Member Months]]=0,"NA",ValbyACO_ICC6[[#This Row],[2022 TOTAL Truncated Total Expenses]]/ValbyACO_ICC6[[#This Row],[2021 TOTAL Truncated Total Expenses]]-1),"NA")</f>
        <v>NA</v>
      </c>
    </row>
    <row r="81" spans="1:45" x14ac:dyDescent="0.35">
      <c r="A81" s="129"/>
      <c r="B81" s="250">
        <v>104</v>
      </c>
      <c r="C81" s="291" t="s">
        <v>191</v>
      </c>
      <c r="D81" s="272">
        <f>SUMIFS(ACOAETME2021[[#All],[Member Months]], ACOAETME2021[[#All],[Insurance Category Code]], $E$76, ACOAETME2021[[#All],[ACO/AE or Insurer Overall Organization ID]], ValbyACO_ICC6[[#This Row],[Org ID]])</f>
        <v>0</v>
      </c>
      <c r="E81" s="268" t="str">
        <f>IFERROR(IF(ValbyACO_ICC6[[#This Row],[2021 Member Months]]=0,"NA",SUMIFS(ACOAETME2021[[#All],[Claims: Hospital Inpatient]], ACOAETME2021[[#All],[Insurance Category Code]], $E$76, ACOAETME2021[[#All],[ACO/AE or Insurer Overall Organization ID]], ValbyACO_ICC6[[#This Row],[Org ID]])/ValbyACO_ICC6[[#This Row],[2021 Member Months]]), "NA")</f>
        <v>NA</v>
      </c>
      <c r="F81" s="268" t="str">
        <f>IFERROR(IF(ValbyACO_ICC6[[#This Row],[2021 Member Months]]=0,"NA",SUMIFS(ACOAETME2021[[#All],[Claims: Hospital Outpatient]], ACOAETME2021[[#All],[Insurance Category Code]], $E$76, ACOAETME2021[[#All],[ACO/AE or Insurer Overall Organization ID]], ValbyACO_ICC6[[#This Row],[Org ID]])/ValbyACO_ICC6[[#This Row],[2021 Member Months]]), "NA")</f>
        <v>NA</v>
      </c>
      <c r="G81" s="268" t="str">
        <f>IFERROR(IF(ValbyACO_ICC6[[#This Row],[2021 Member Months]]=0,"NA",SUMIFS(ACOAETME2021[[#All],[Claims: Professional, Primary Care]], ACOAETME2021[[#All],[Insurance Category Code]], $E$76, ACOAETME2021[[#All],[ACO/AE or Insurer Overall Organization ID]], ValbyACO_ICC6[[#This Row],[Org ID]])/ValbyACO_ICC6[[#This Row],[2021 Member Months]]), "NA")</f>
        <v>NA</v>
      </c>
      <c r="H81" s="268" t="str">
        <f>IFERROR(IF(ValbyACO_ICC6[[#This Row],[2021 Member Months]]=0,"NA",SUMIFS(ACOAETME2021[[#All],[Claims: Professional, Specialty Care]], ACOAETME2021[[#All],[Insurance Category Code]], $E$76, ACOAETME2021[[#All],[ACO/AE or Insurer Overall Organization ID]], ValbyACO_ICC6[[#This Row],[Org ID]])/ValbyACO_ICC6[[#This Row],[2021 Member Months]]), "NA")</f>
        <v>NA</v>
      </c>
      <c r="I81" s="268" t="str">
        <f>IFERROR(IF(ValbyACO_ICC6[[#This Row],[2021 Member Months]]=0,"NA",SUMIFS(ACOAETME2021[[#All],[Claims: Professional Other]], ACOAETME2021[[#All],[Insurance Category Code]], $E$76, ACOAETME2021[[#All],[ACO/AE or Insurer Overall Organization ID]], ValbyACO_ICC6[[#This Row],[Org ID]])/ValbyACO_ICC6[[#This Row],[2021 Member Months]]), "NA")</f>
        <v>NA</v>
      </c>
      <c r="J81" s="268" t="str">
        <f>IFERROR(IF(ValbyACO_ICC6[[#This Row],[2021 Member Months]]=0,"NA",SUMIFS(ACOAETME2021[[#All],[Claims: Pharmacy]], ACOAETME2021[[#All],[Insurance Category Code]], $E$76, ACOAETME2021[[#All],[ACO/AE or Insurer Overall Organization ID]], ValbyACO_ICC6[[#This Row],[Org ID]])/ValbyACO_ICC6[[#This Row],[2021 Member Months]]), "NA")</f>
        <v>NA</v>
      </c>
      <c r="K81" s="268" t="str">
        <f>IFERROR(IF(ValbyACO_ICC6[[#This Row],[2021 Member Months]]=0,"NA",SUMIFS(ACOAETME2021[[#All],[Claims: Long-Term Care]], ACOAETME2021[[#All],[Insurance Category Code]], $E$76, ACOAETME2021[[#All],[ACO/AE or Insurer Overall Organization ID]], ValbyACO_ICC6[[#This Row],[Org ID]])/ValbyACO_ICC6[[#This Row],[2021 Member Months]]), "NA")</f>
        <v>NA</v>
      </c>
      <c r="L81" s="268" t="str">
        <f>IFERROR(IF(ValbyACO_ICC6[[#This Row],[2021 Member Months]]=0,"NA",SUMIFS(ACOAETME2021[[#All],[Claims: Other]], ACOAETME2021[[#All],[Insurance Category Code]], $E$76, ACOAETME2021[[#All],[ACO/AE or Insurer Overall Organization ID]], ValbyACO_ICC6[[#This Row],[Org ID]])/ValbyACO_ICC6[[#This Row],[2021 Member Months]]), "NA")</f>
        <v>NA</v>
      </c>
      <c r="M81" s="118" t="str">
        <f>IF(ValbyACO_ICC6[[#This Row],[2021 Member Months]]=0,"NA",SUMIFS(ACOAETME2021[[#All],[TOTAL Non-Truncated Unadjusted Claims Expenses]], ACOAETME2021[[#All],[Insurance Category Code]], $E$76, ACOAETME2021[[#All],[ACO/AE or Insurer Overall Organization ID]], ValbyACO_ICC6[[#This Row],[Org ID]])/ValbyACO_ICC6[[#This Row],[2021 Member Months]])</f>
        <v>NA</v>
      </c>
      <c r="N81" s="118" t="str">
        <f>IF(ValbyACO_ICC6[[#This Row],[2021 Member Months]]=0,"NA",SUMIFS(ACOAETME2021[[#All],[TOTAL Truncated Unadjusted Claims Expenses (A19 - A17)]], ACOAETME2021[[#All],[Insurance Category Code]], $E$76, ACOAETME2021[[#All],[ACO/AE or Insurer Overall Organization ID]], ValbyACO_ICC6[[#This Row],[Org ID]])/ValbyACO_ICC6[[#This Row],[2021 Member Months]])</f>
        <v>NA</v>
      </c>
      <c r="O81" s="118" t="str">
        <f>IF(ValbyACO_ICC6[[#This Row],[2021 Member Months]]=0,"NA",SUMIFS(ACOAETME2021[[#All],[TOTAL Non-Claims Expenses]], ACOAETME2021[[#All],[Insurance Category Code]], $E$76, ACOAETME2021[[#All],[ACO/AE or Insurer Overall Organization ID]], ValbyACO_ICC6[[#This Row],[Org ID]])/ValbyACO_ICC6[[#This Row],[2021 Member Months]])</f>
        <v>NA</v>
      </c>
      <c r="P81" s="268" t="str">
        <f>IF(ValbyACO_ICC6[[#This Row],[2021 Member Months]]=0, "NA", SUMIFS(ACOAETME2021[[#All],[TOTAL Non-Truncated Unadjusted Expenses 
(A19+A21)]], ACOAETME2021[[#All],[Insurance Category Code]], $E$76, ACOAETME2021[[#All],[ACO/AE or Insurer Overall Organization ID]], ValbyACO_ICC6[[#This Row],[Org ID]])/ValbyACO_ICC6[[#This Row],[2021 Member Months]])</f>
        <v>NA</v>
      </c>
      <c r="Q81" s="119" t="str">
        <f>IF(ValbyACO_ICC6[[#This Row],[2021 Member Months]]=0, "NA", SUMIFS(ACOAETME2021[[#All],[TOTAL Truncated Unadjusted Expenses (A20+A21)]], ACOAETME2021[[#All],[Insurance Category Code]], $E$76, ACOAETME2021[[#All],[ACO/AE or Insurer Overall Organization ID]], ValbyACO_ICC6[[#This Row],[Org ID]])/ValbyACO_ICC6[[#This Row],[2021 Member Months]])</f>
        <v>NA</v>
      </c>
      <c r="R81" s="272">
        <f>SUMIFS(ACOAETME2022[[#All],[Member Months]],ACOAETME2022[[#All],[Insurance Category Code]], $E$76,ACOAETME2022[[#All],[ACO/AE or Insurer Overall Organization ID]],ValbyACO_ICC6[[#This Row],[Org ID]])</f>
        <v>0</v>
      </c>
      <c r="S81" s="118" t="str">
        <f>IF(ValbyACO_ICC6[[#This Row],[2022 Member Months]]=0,"NA",SUMIFS(ACOAETME2022[[#All],[Claims: Hospital Inpatient]],ACOAETME2022[[#All],[Insurance Category Code]], $E$76,ACOAETME2022[[#All],[ACO/AE or Insurer Overall Organization ID]],ValbyACO_ICC6[[#This Row],[Org ID]])/ValbyACO_ICC6[[#This Row],[2022 Member Months]])</f>
        <v>NA</v>
      </c>
      <c r="T81" s="118" t="str">
        <f>IF(ValbyACO_ICC6[[#This Row],[2022 Member Months]]=0,"NA",SUMIFS(ACOAETME2022[[#All],[Claims: Hospital Outpatient]],ACOAETME2022[[#All],[Insurance Category Code]], $E$76,ACOAETME2022[[#All],[ACO/AE or Insurer Overall Organization ID]],ValbyACO_ICC6[[#This Row],[Org ID]])/ValbyACO_ICC6[[#This Row],[2022 Member Months]])</f>
        <v>NA</v>
      </c>
      <c r="U81" s="118" t="str">
        <f>IF(ValbyACO_ICC6[[#This Row],[2022 Member Months]]=0,"NA",SUMIFS(ACOAETME2022[[#All],[Claims: Professional, Primary Care]],ACOAETME2022[[#All],[Insurance Category Code]], $E$76,ACOAETME2022[[#All],[ACO/AE or Insurer Overall Organization ID]],ValbyACO_ICC6[[#This Row],[Org ID]])/ValbyACO_ICC6[[#This Row],[2022 Member Months]])</f>
        <v>NA</v>
      </c>
      <c r="V81" s="118" t="str">
        <f>IF(ValbyACO_ICC6[[#This Row],[2022 Member Months]]=0,"NA",SUMIFS(ACOAETME2022[[#All],[Claims: Professional, Specialty Care]],ACOAETME2022[[#All],[Insurance Category Code]], $E$76,ACOAETME2022[[#All],[ACO/AE or Insurer Overall Organization ID]],ValbyACO_ICC6[[#This Row],[Org ID]])/ValbyACO_ICC6[[#This Row],[2022 Member Months]])</f>
        <v>NA</v>
      </c>
      <c r="W81" s="118" t="str">
        <f>IF(ValbyACO_ICC6[[#This Row],[2022 Member Months]]=0,"NA",SUMIFS(ACOAETME2022[[#All],[Claims: Professional Other]],ACOAETME2022[[#All],[Insurance Category Code]], $E$76,ACOAETME2022[[#All],[ACO/AE or Insurer Overall Organization ID]],ValbyACO_ICC6[[#This Row],[Org ID]])/ValbyACO_ICC6[[#This Row],[2022 Member Months]])</f>
        <v>NA</v>
      </c>
      <c r="X81" s="118" t="str">
        <f>IF(ValbyACO_ICC6[[#This Row],[2022 Member Months]]=0,"NA",SUMIFS(ACOAETME2022[[#All],[Claims: Pharmacy]],ACOAETME2022[[#All],[Insurance Category Code]], $E$76,ACOAETME2022[[#All],[ACO/AE or Insurer Overall Organization ID]],ValbyACO_ICC6[[#This Row],[Org ID]])/ValbyACO_ICC6[[#This Row],[2022 Member Months]])</f>
        <v>NA</v>
      </c>
      <c r="Y81" s="118" t="str">
        <f>IF(ValbyACO_ICC6[[#This Row],[2022 Member Months]]=0,"NA",SUMIFS(ACOAETME2022[[#All],[Claims: Long-Term Care]],ACOAETME2022[[#All],[Insurance Category Code]], $E$76,ACOAETME2022[[#All],[ACO/AE or Insurer Overall Organization ID]],ValbyACO_ICC6[[#This Row],[Org ID]])/ValbyACO_ICC6[[#This Row],[2022 Member Months]])</f>
        <v>NA</v>
      </c>
      <c r="Z81" s="118" t="str">
        <f>IF(ValbyACO_ICC6[[#This Row],[2022 Member Months]]=0,"NA",SUMIFS(ACOAETME2022[[#All],[Claims: Other]],ACOAETME2022[[#All],[Insurance Category Code]], $E$76,ACOAETME2022[[#All],[ACO/AE or Insurer Overall Organization ID]],ValbyACO_ICC6[[#This Row],[Org ID]])/ValbyACO_ICC6[[#This Row],[2022 Member Months]])</f>
        <v>NA</v>
      </c>
      <c r="AA81" s="118" t="str">
        <f>IF(ValbyACO_ICC6[[#This Row],[2022 Member Months]]=0,"NA",SUMIFS(ACOAETME2022[[#All],[TOTAL Non-Truncated Unadjusted Claims Expenses]],ACOAETME2022[[#All],[Insurance Category Code]], $E$76,ACOAETME2022[[#All],[ACO/AE or Insurer Overall Organization ID]],ValbyACO_ICC6[[#This Row],[Org ID]])/ValbyACO_ICC6[[#This Row],[2022 Member Months]])</f>
        <v>NA</v>
      </c>
      <c r="AB81" s="118" t="str">
        <f>IF(ValbyACO_ICC6[[#This Row],[2022 Member Months]]=0,"NA",SUMIFS(ACOAETME2022[[#All],[TOTAL Truncated Unadjusted Expenses (A20+A21)]],ACOAETME2022[[#All],[Insurance Category Code]], $E$76,ACOAETME2022[[#All],[ACO/AE or Insurer Overall Organization ID]],ValbyACO_ICC6[[#This Row],[Org ID]])/ValbyACO_ICC6[[#This Row],[2022 Member Months]])</f>
        <v>NA</v>
      </c>
      <c r="AC81" s="118" t="str">
        <f>IF(ValbyACO_ICC6[[#This Row],[2022 Member Months]]=0,"NA",SUMIFS(ACOAETME2022[[#All],[TOTAL Non-Claims Expenses]],ACOAETME2022[[#All],[Insurance Category Code]], $E$76,ACOAETME2022[[#All],[ACO/AE or Insurer Overall Organization ID]],ValbyACO_ICC6[[#This Row],[Org ID]])/ValbyACO_ICC6[[#This Row],[2022 Member Months]])</f>
        <v>NA</v>
      </c>
      <c r="AD81" s="268" t="str">
        <f>IF(ValbyACO_ICC6[[#This Row],[2022 Member Months]]=0,"NA",SUMIFS(ACOAETME2022[[#All],[TOTAL Non-Truncated Unadjusted Expenses 
(A19+A21)]],ACOAETME2022[[#All],[Insurance Category Code]], $E$76,ACOAETME2022[[#All],[ACO/AE or Insurer Overall Organization ID]],ValbyACO_ICC6[[#This Row],[Org ID]])/ValbyACO_ICC6[[#This Row],[2022 Member Months]])</f>
        <v>NA</v>
      </c>
      <c r="AE81" s="119" t="str">
        <f>IF(ValbyACO_ICC6[[#This Row],[2022 Member Months]]=0,"NA",SUMIFS(ACOAETME2022[[#All],[TOTAL Truncated Unadjusted Expenses (A20+A21)]],ACOAETME2022[[#All],[Insurance Category Code]],$E$76,ACOAETME2022[[#All],[ACO/AE or Insurer Overall Organization ID]],ValbyACO_ICC6[[#This Row],[Org ID]])/ValbyACO_ICC6[[#This Row],[2022 Member Months]])</f>
        <v>NA</v>
      </c>
      <c r="AF81" s="160" t="str">
        <f>IFERROR(IF(ValbyACO_ICC6[[#This Row],[2021 Member Months]]=0,"NA",ValbyACO_ICC6[[#This Row],[2022 Member Months]]/ValbyACO_ICC6[[#This Row],[2021 Member Months]]-1),"NA")</f>
        <v>NA</v>
      </c>
      <c r="AG81" s="161" t="str">
        <f>IFERROR(IF(ValbyACO_ICC6[[#This Row],[2021 Member Months]]=0,"NA",ValbyACO_ICC6[[#This Row],[2022 Claims: Hospital Inpatient]]/ValbyACO_ICC6[[#This Row],[2021 Claims: Hospital Inpatient]]-1),"NA")</f>
        <v>NA</v>
      </c>
      <c r="AH81" s="162" t="str">
        <f>IFERROR(IF(ValbyACO_ICC6[[#This Row],[2021 Member Months]]=0,"NA",ValbyACO_ICC6[[#This Row],[2022 Claims: Hospital Outpatient]]/ValbyACO_ICC6[[#This Row],[2021 Claims: Hospital Outpatient]]-1),"NA")</f>
        <v>NA</v>
      </c>
      <c r="AI81" s="162" t="str">
        <f>IFERROR(IF(ValbyACO_ICC6[[#This Row],[2021 Member Months]]=0,"NA",ValbyACO_ICC6[[#This Row],[2022 Claims: Professional, Primary Care]]/ValbyACO_ICC6[[#This Row],[2021 Claims: Professional, Primary Care]]-1),"NA")</f>
        <v>NA</v>
      </c>
      <c r="AJ81" s="162" t="str">
        <f>IFERROR(IF(ValbyACO_ICC6[[#This Row],[2021 Member Months]]=0,"NA",ValbyACO_ICC6[[#This Row],[2022 Claims: Professional, Specialty Care]]/ValbyACO_ICC6[[#This Row],[2021 Claims: Professional, Specialty Care]]-1),"NA")</f>
        <v>NA</v>
      </c>
      <c r="AK81" s="162" t="str">
        <f>IFERROR(IF(ValbyACO_ICC6[[#This Row],[2021 Member Months]]=0,"NA", ValbyACO_ICC6[[#This Row],[2022 Claims: Professional Other]]/ValbyACO_ICC6[[#This Row],[2021 Claims: Professional Other]]-1),"NA")</f>
        <v>NA</v>
      </c>
      <c r="AL81" s="162" t="str">
        <f>IFERROR(IF(ValbyACO_ICC6[[#This Row],[2021 Member Months]]=0,"NA",ValbyACO_ICC6[[#This Row],[2022 Claims: Pharmacy (Gross of Retail Pharmacy Rebates)]]/ValbyACO_ICC6[[#This Row],[2021 Claims: Pharmacy (Gross of  Rebates)]]-1),"NA")</f>
        <v>NA</v>
      </c>
      <c r="AM81" s="162" t="str">
        <f>IFERROR(IF(ValbyACO_ICC6[[#This Row],[2021 Member Months]]=0,"NA",ValbyACO_ICC6[[#This Row],[2022 Claims: Long-term Care]]/ValbyACO_ICC6[[#This Row],[2021 Claims: Long-term Care]]-1),"NA")</f>
        <v>NA</v>
      </c>
      <c r="AN81" s="162" t="str">
        <f>IFERROR(IF(ValbyACO_ICC6[[#This Row],[2021 Member Months]]=0,"NA",ValbyACO_ICC6[[#This Row],[2022 Claims: Other]]/ValbyACO_ICC6[[#This Row],[2021 Claims: Other]]-1),"NA")</f>
        <v>NA</v>
      </c>
      <c r="AO81" s="163" t="str">
        <f>IFERROR(IF(ValbyACO_ICC6[[#This Row],[2021 Member Months]]=0,"NA",ValbyACO_ICC6[[#This Row],[2022 TOTAL Non-Truncated Claims Expenses]]/ValbyACO_ICC6[[#This Row],[2021 TOTAL Non-Truncated Claims Expenses]]-1),"NA")</f>
        <v>NA</v>
      </c>
      <c r="AP81" s="163" t="str">
        <f>IFERROR(IF(ValbyACO_ICC6[[#This Row],[2021 Member Months]]=0,"NA",ValbyACO_ICC6[[#This Row],[2022 TOTAL Truncated Claims Expenses]]/ValbyACO_ICC6[[#This Row],[2021 TOTAL Truncated Claims Expenses]]-1),"NA")</f>
        <v>NA</v>
      </c>
      <c r="AQ81" s="163" t="str">
        <f>IFERROR(IF(ValbyACO_ICC6[[#This Row],[2021 Member Months]]=0,"NA",ValbyACO_ICC6[[#This Row],[2022 TOTAL Non-Claims Expenses]]/ValbyACO_ICC6[[#This Row],[2021 TOTAL Non-Claims Expenses]]-1),"NA")</f>
        <v>NA</v>
      </c>
      <c r="AR81" s="163" t="str">
        <f>IFERROR(IF(ValbyACO_ICC6[[#This Row],[2021 Member Months]]=0,"NA",ValbyACO_ICC6[[#This Row],[2022 TOTAL Non-Truncated Total Expenses]]/ValbyACO_ICC6[[#This Row],[2021 TOTAL Non-Truncated Total Expenses]]-1),"NA")</f>
        <v>NA</v>
      </c>
      <c r="AS81" s="164" t="str">
        <f>IFERROR(IF(ValbyACO_ICC6[[#This Row],[2021 Member Months]]=0,"NA",ValbyACO_ICC6[[#This Row],[2022 TOTAL Truncated Total Expenses]]/ValbyACO_ICC6[[#This Row],[2021 TOTAL Truncated Total Expenses]]-1),"NA")</f>
        <v>NA</v>
      </c>
    </row>
    <row r="82" spans="1:45" x14ac:dyDescent="0.35">
      <c r="A82" s="129"/>
      <c r="B82" s="250">
        <v>105</v>
      </c>
      <c r="C82" s="291" t="s">
        <v>169</v>
      </c>
      <c r="D82" s="272">
        <f>SUMIFS(ACOAETME2021[[#All],[Member Months]], ACOAETME2021[[#All],[Insurance Category Code]], $E$76, ACOAETME2021[[#All],[ACO/AE or Insurer Overall Organization ID]], ValbyACO_ICC6[[#This Row],[Org ID]])</f>
        <v>0</v>
      </c>
      <c r="E82" s="268" t="str">
        <f>IFERROR(IF(ValbyACO_ICC6[[#This Row],[2021 Member Months]]=0,"NA",SUMIFS(ACOAETME2021[[#All],[Claims: Hospital Inpatient]], ACOAETME2021[[#All],[Insurance Category Code]], $E$76, ACOAETME2021[[#All],[ACO/AE or Insurer Overall Organization ID]], ValbyACO_ICC6[[#This Row],[Org ID]])/ValbyACO_ICC6[[#This Row],[2021 Member Months]]), "NA")</f>
        <v>NA</v>
      </c>
      <c r="F82" s="268" t="str">
        <f>IFERROR(IF(ValbyACO_ICC6[[#This Row],[2021 Member Months]]=0,"NA",SUMIFS(ACOAETME2021[[#All],[Claims: Hospital Outpatient]], ACOAETME2021[[#All],[Insurance Category Code]], $E$76, ACOAETME2021[[#All],[ACO/AE or Insurer Overall Organization ID]], ValbyACO_ICC6[[#This Row],[Org ID]])/ValbyACO_ICC6[[#This Row],[2021 Member Months]]), "NA")</f>
        <v>NA</v>
      </c>
      <c r="G82" s="268" t="str">
        <f>IFERROR(IF(ValbyACO_ICC6[[#This Row],[2021 Member Months]]=0,"NA",SUMIFS(ACOAETME2021[[#All],[Claims: Professional, Primary Care]], ACOAETME2021[[#All],[Insurance Category Code]], $E$76, ACOAETME2021[[#All],[ACO/AE or Insurer Overall Organization ID]], ValbyACO_ICC6[[#This Row],[Org ID]])/ValbyACO_ICC6[[#This Row],[2021 Member Months]]), "NA")</f>
        <v>NA</v>
      </c>
      <c r="H82" s="268" t="str">
        <f>IFERROR(IF(ValbyACO_ICC6[[#This Row],[2021 Member Months]]=0,"NA",SUMIFS(ACOAETME2021[[#All],[Claims: Professional, Specialty Care]], ACOAETME2021[[#All],[Insurance Category Code]], $E$76, ACOAETME2021[[#All],[ACO/AE or Insurer Overall Organization ID]], ValbyACO_ICC6[[#This Row],[Org ID]])/ValbyACO_ICC6[[#This Row],[2021 Member Months]]), "NA")</f>
        <v>NA</v>
      </c>
      <c r="I82" s="268" t="str">
        <f>IFERROR(IF(ValbyACO_ICC6[[#This Row],[2021 Member Months]]=0,"NA",SUMIFS(ACOAETME2021[[#All],[Claims: Professional Other]], ACOAETME2021[[#All],[Insurance Category Code]], $E$76, ACOAETME2021[[#All],[ACO/AE or Insurer Overall Organization ID]], ValbyACO_ICC6[[#This Row],[Org ID]])/ValbyACO_ICC6[[#This Row],[2021 Member Months]]), "NA")</f>
        <v>NA</v>
      </c>
      <c r="J82" s="268" t="str">
        <f>IFERROR(IF(ValbyACO_ICC6[[#This Row],[2021 Member Months]]=0,"NA",SUMIFS(ACOAETME2021[[#All],[Claims: Pharmacy]], ACOAETME2021[[#All],[Insurance Category Code]], $E$76, ACOAETME2021[[#All],[ACO/AE or Insurer Overall Organization ID]], ValbyACO_ICC6[[#This Row],[Org ID]])/ValbyACO_ICC6[[#This Row],[2021 Member Months]]), "NA")</f>
        <v>NA</v>
      </c>
      <c r="K82" s="268" t="str">
        <f>IFERROR(IF(ValbyACO_ICC6[[#This Row],[2021 Member Months]]=0,"NA",SUMIFS(ACOAETME2021[[#All],[Claims: Long-Term Care]], ACOAETME2021[[#All],[Insurance Category Code]], $E$76, ACOAETME2021[[#All],[ACO/AE or Insurer Overall Organization ID]], ValbyACO_ICC6[[#This Row],[Org ID]])/ValbyACO_ICC6[[#This Row],[2021 Member Months]]), "NA")</f>
        <v>NA</v>
      </c>
      <c r="L82" s="268" t="str">
        <f>IFERROR(IF(ValbyACO_ICC6[[#This Row],[2021 Member Months]]=0,"NA",SUMIFS(ACOAETME2021[[#All],[Claims: Other]], ACOAETME2021[[#All],[Insurance Category Code]], $E$76, ACOAETME2021[[#All],[ACO/AE or Insurer Overall Organization ID]], ValbyACO_ICC6[[#This Row],[Org ID]])/ValbyACO_ICC6[[#This Row],[2021 Member Months]]), "NA")</f>
        <v>NA</v>
      </c>
      <c r="M82" s="118" t="str">
        <f>IF(ValbyACO_ICC6[[#This Row],[2021 Member Months]]=0,"NA",SUMIFS(ACOAETME2021[[#All],[TOTAL Non-Truncated Unadjusted Claims Expenses]], ACOAETME2021[[#All],[Insurance Category Code]], $E$76, ACOAETME2021[[#All],[ACO/AE or Insurer Overall Organization ID]], ValbyACO_ICC6[[#This Row],[Org ID]])/ValbyACO_ICC6[[#This Row],[2021 Member Months]])</f>
        <v>NA</v>
      </c>
      <c r="N82" s="118" t="str">
        <f>IF(ValbyACO_ICC6[[#This Row],[2021 Member Months]]=0,"NA",SUMIFS(ACOAETME2021[[#All],[TOTAL Truncated Unadjusted Claims Expenses (A19 - A17)]], ACOAETME2021[[#All],[Insurance Category Code]], $E$76, ACOAETME2021[[#All],[ACO/AE or Insurer Overall Organization ID]], ValbyACO_ICC6[[#This Row],[Org ID]])/ValbyACO_ICC6[[#This Row],[2021 Member Months]])</f>
        <v>NA</v>
      </c>
      <c r="O82" s="118" t="str">
        <f>IF(ValbyACO_ICC6[[#This Row],[2021 Member Months]]=0,"NA",SUMIFS(ACOAETME2021[[#All],[TOTAL Non-Claims Expenses]], ACOAETME2021[[#All],[Insurance Category Code]], $E$76, ACOAETME2021[[#All],[ACO/AE or Insurer Overall Organization ID]], ValbyACO_ICC6[[#This Row],[Org ID]])/ValbyACO_ICC6[[#This Row],[2021 Member Months]])</f>
        <v>NA</v>
      </c>
      <c r="P82" s="268" t="str">
        <f>IF(ValbyACO_ICC6[[#This Row],[2021 Member Months]]=0, "NA", SUMIFS(ACOAETME2021[[#All],[TOTAL Non-Truncated Unadjusted Expenses 
(A19+A21)]], ACOAETME2021[[#All],[Insurance Category Code]], $E$76, ACOAETME2021[[#All],[ACO/AE or Insurer Overall Organization ID]], ValbyACO_ICC6[[#This Row],[Org ID]])/ValbyACO_ICC6[[#This Row],[2021 Member Months]])</f>
        <v>NA</v>
      </c>
      <c r="Q82" s="119" t="str">
        <f>IF(ValbyACO_ICC6[[#This Row],[2021 Member Months]]=0, "NA", SUMIFS(ACOAETME2021[[#All],[TOTAL Truncated Unadjusted Expenses (A20+A21)]], ACOAETME2021[[#All],[Insurance Category Code]], $E$76, ACOAETME2021[[#All],[ACO/AE or Insurer Overall Organization ID]], ValbyACO_ICC6[[#This Row],[Org ID]])/ValbyACO_ICC6[[#This Row],[2021 Member Months]])</f>
        <v>NA</v>
      </c>
      <c r="R82" s="272">
        <f>SUMIFS(ACOAETME2022[[#All],[Member Months]],ACOAETME2022[[#All],[Insurance Category Code]], $E$76,ACOAETME2022[[#All],[ACO/AE or Insurer Overall Organization ID]],ValbyACO_ICC6[[#This Row],[Org ID]])</f>
        <v>0</v>
      </c>
      <c r="S82" s="118" t="str">
        <f>IF(ValbyACO_ICC6[[#This Row],[2022 Member Months]]=0,"NA",SUMIFS(ACOAETME2022[[#All],[Claims: Hospital Inpatient]],ACOAETME2022[[#All],[Insurance Category Code]], $E$76,ACOAETME2022[[#All],[ACO/AE or Insurer Overall Organization ID]],ValbyACO_ICC6[[#This Row],[Org ID]])/ValbyACO_ICC6[[#This Row],[2022 Member Months]])</f>
        <v>NA</v>
      </c>
      <c r="T82" s="118" t="str">
        <f>IF(ValbyACO_ICC6[[#This Row],[2022 Member Months]]=0,"NA",SUMIFS(ACOAETME2022[[#All],[Claims: Hospital Outpatient]],ACOAETME2022[[#All],[Insurance Category Code]], $E$76,ACOAETME2022[[#All],[ACO/AE or Insurer Overall Organization ID]],ValbyACO_ICC6[[#This Row],[Org ID]])/ValbyACO_ICC6[[#This Row],[2022 Member Months]])</f>
        <v>NA</v>
      </c>
      <c r="U82" s="118" t="str">
        <f>IF(ValbyACO_ICC6[[#This Row],[2022 Member Months]]=0,"NA",SUMIFS(ACOAETME2022[[#All],[Claims: Professional, Primary Care]],ACOAETME2022[[#All],[Insurance Category Code]], $E$76,ACOAETME2022[[#All],[ACO/AE or Insurer Overall Organization ID]],ValbyACO_ICC6[[#This Row],[Org ID]])/ValbyACO_ICC6[[#This Row],[2022 Member Months]])</f>
        <v>NA</v>
      </c>
      <c r="V82" s="118" t="str">
        <f>IF(ValbyACO_ICC6[[#This Row],[2022 Member Months]]=0,"NA",SUMIFS(ACOAETME2022[[#All],[Claims: Professional, Specialty Care]],ACOAETME2022[[#All],[Insurance Category Code]], $E$76,ACOAETME2022[[#All],[ACO/AE or Insurer Overall Organization ID]],ValbyACO_ICC6[[#This Row],[Org ID]])/ValbyACO_ICC6[[#This Row],[2022 Member Months]])</f>
        <v>NA</v>
      </c>
      <c r="W82" s="118" t="str">
        <f>IF(ValbyACO_ICC6[[#This Row],[2022 Member Months]]=0,"NA",SUMIFS(ACOAETME2022[[#All],[Claims: Professional Other]],ACOAETME2022[[#All],[Insurance Category Code]], $E$76,ACOAETME2022[[#All],[ACO/AE or Insurer Overall Organization ID]],ValbyACO_ICC6[[#This Row],[Org ID]])/ValbyACO_ICC6[[#This Row],[2022 Member Months]])</f>
        <v>NA</v>
      </c>
      <c r="X82" s="118" t="str">
        <f>IF(ValbyACO_ICC6[[#This Row],[2022 Member Months]]=0,"NA",SUMIFS(ACOAETME2022[[#All],[Claims: Pharmacy]],ACOAETME2022[[#All],[Insurance Category Code]], $E$76,ACOAETME2022[[#All],[ACO/AE or Insurer Overall Organization ID]],ValbyACO_ICC6[[#This Row],[Org ID]])/ValbyACO_ICC6[[#This Row],[2022 Member Months]])</f>
        <v>NA</v>
      </c>
      <c r="Y82" s="118" t="str">
        <f>IF(ValbyACO_ICC6[[#This Row],[2022 Member Months]]=0,"NA",SUMIFS(ACOAETME2022[[#All],[Claims: Long-Term Care]],ACOAETME2022[[#All],[Insurance Category Code]], $E$76,ACOAETME2022[[#All],[ACO/AE or Insurer Overall Organization ID]],ValbyACO_ICC6[[#This Row],[Org ID]])/ValbyACO_ICC6[[#This Row],[2022 Member Months]])</f>
        <v>NA</v>
      </c>
      <c r="Z82" s="118" t="str">
        <f>IF(ValbyACO_ICC6[[#This Row],[2022 Member Months]]=0,"NA",SUMIFS(ACOAETME2022[[#All],[Claims: Other]],ACOAETME2022[[#All],[Insurance Category Code]], $E$76,ACOAETME2022[[#All],[ACO/AE or Insurer Overall Organization ID]],ValbyACO_ICC6[[#This Row],[Org ID]])/ValbyACO_ICC6[[#This Row],[2022 Member Months]])</f>
        <v>NA</v>
      </c>
      <c r="AA82" s="118" t="str">
        <f>IF(ValbyACO_ICC6[[#This Row],[2022 Member Months]]=0,"NA",SUMIFS(ACOAETME2022[[#All],[TOTAL Non-Truncated Unadjusted Claims Expenses]],ACOAETME2022[[#All],[Insurance Category Code]], $E$76,ACOAETME2022[[#All],[ACO/AE or Insurer Overall Organization ID]],ValbyACO_ICC6[[#This Row],[Org ID]])/ValbyACO_ICC6[[#This Row],[2022 Member Months]])</f>
        <v>NA</v>
      </c>
      <c r="AB82" s="118" t="str">
        <f>IF(ValbyACO_ICC6[[#This Row],[2022 Member Months]]=0,"NA",SUMIFS(ACOAETME2022[[#All],[TOTAL Truncated Unadjusted Expenses (A20+A21)]],ACOAETME2022[[#All],[Insurance Category Code]], $E$76,ACOAETME2022[[#All],[ACO/AE or Insurer Overall Organization ID]],ValbyACO_ICC6[[#This Row],[Org ID]])/ValbyACO_ICC6[[#This Row],[2022 Member Months]])</f>
        <v>NA</v>
      </c>
      <c r="AC82" s="118" t="str">
        <f>IF(ValbyACO_ICC6[[#This Row],[2022 Member Months]]=0,"NA",SUMIFS(ACOAETME2022[[#All],[TOTAL Non-Claims Expenses]],ACOAETME2022[[#All],[Insurance Category Code]], $E$76,ACOAETME2022[[#All],[ACO/AE or Insurer Overall Organization ID]],ValbyACO_ICC6[[#This Row],[Org ID]])/ValbyACO_ICC6[[#This Row],[2022 Member Months]])</f>
        <v>NA</v>
      </c>
      <c r="AD82" s="268" t="str">
        <f>IF(ValbyACO_ICC6[[#This Row],[2022 Member Months]]=0,"NA",SUMIFS(ACOAETME2022[[#All],[TOTAL Non-Truncated Unadjusted Expenses 
(A19+A21)]],ACOAETME2022[[#All],[Insurance Category Code]], $E$76,ACOAETME2022[[#All],[ACO/AE or Insurer Overall Organization ID]],ValbyACO_ICC6[[#This Row],[Org ID]])/ValbyACO_ICC6[[#This Row],[2022 Member Months]])</f>
        <v>NA</v>
      </c>
      <c r="AE82" s="119" t="str">
        <f>IF(ValbyACO_ICC6[[#This Row],[2022 Member Months]]=0,"NA",SUMIFS(ACOAETME2022[[#All],[TOTAL Truncated Unadjusted Expenses (A20+A21)]],ACOAETME2022[[#All],[Insurance Category Code]],$E$76,ACOAETME2022[[#All],[ACO/AE or Insurer Overall Organization ID]],ValbyACO_ICC6[[#This Row],[Org ID]])/ValbyACO_ICC6[[#This Row],[2022 Member Months]])</f>
        <v>NA</v>
      </c>
      <c r="AF82" s="160" t="str">
        <f>IFERROR(IF(ValbyACO_ICC6[[#This Row],[2021 Member Months]]=0,"NA",ValbyACO_ICC6[[#This Row],[2022 Member Months]]/ValbyACO_ICC6[[#This Row],[2021 Member Months]]-1),"NA")</f>
        <v>NA</v>
      </c>
      <c r="AG82" s="161" t="str">
        <f>IFERROR(IF(ValbyACO_ICC6[[#This Row],[2021 Member Months]]=0,"NA",ValbyACO_ICC6[[#This Row],[2022 Claims: Hospital Inpatient]]/ValbyACO_ICC6[[#This Row],[2021 Claims: Hospital Inpatient]]-1),"NA")</f>
        <v>NA</v>
      </c>
      <c r="AH82" s="162" t="str">
        <f>IFERROR(IF(ValbyACO_ICC6[[#This Row],[2021 Member Months]]=0,"NA",ValbyACO_ICC6[[#This Row],[2022 Claims: Hospital Outpatient]]/ValbyACO_ICC6[[#This Row],[2021 Claims: Hospital Outpatient]]-1),"NA")</f>
        <v>NA</v>
      </c>
      <c r="AI82" s="162" t="str">
        <f>IFERROR(IF(ValbyACO_ICC6[[#This Row],[2021 Member Months]]=0,"NA",ValbyACO_ICC6[[#This Row],[2022 Claims: Professional, Primary Care]]/ValbyACO_ICC6[[#This Row],[2021 Claims: Professional, Primary Care]]-1),"NA")</f>
        <v>NA</v>
      </c>
      <c r="AJ82" s="162" t="str">
        <f>IFERROR(IF(ValbyACO_ICC6[[#This Row],[2021 Member Months]]=0,"NA",ValbyACO_ICC6[[#This Row],[2022 Claims: Professional, Specialty Care]]/ValbyACO_ICC6[[#This Row],[2021 Claims: Professional, Specialty Care]]-1),"NA")</f>
        <v>NA</v>
      </c>
      <c r="AK82" s="162" t="str">
        <f>IFERROR(IF(ValbyACO_ICC6[[#This Row],[2021 Member Months]]=0,"NA", ValbyACO_ICC6[[#This Row],[2022 Claims: Professional Other]]/ValbyACO_ICC6[[#This Row],[2021 Claims: Professional Other]]-1),"NA")</f>
        <v>NA</v>
      </c>
      <c r="AL82" s="162" t="str">
        <f>IFERROR(IF(ValbyACO_ICC6[[#This Row],[2021 Member Months]]=0,"NA",ValbyACO_ICC6[[#This Row],[2022 Claims: Pharmacy (Gross of Retail Pharmacy Rebates)]]/ValbyACO_ICC6[[#This Row],[2021 Claims: Pharmacy (Gross of  Rebates)]]-1),"NA")</f>
        <v>NA</v>
      </c>
      <c r="AM82" s="162" t="str">
        <f>IFERROR(IF(ValbyACO_ICC6[[#This Row],[2021 Member Months]]=0,"NA",ValbyACO_ICC6[[#This Row],[2022 Claims: Long-term Care]]/ValbyACO_ICC6[[#This Row],[2021 Claims: Long-term Care]]-1),"NA")</f>
        <v>NA</v>
      </c>
      <c r="AN82" s="162" t="str">
        <f>IFERROR(IF(ValbyACO_ICC6[[#This Row],[2021 Member Months]]=0,"NA",ValbyACO_ICC6[[#This Row],[2022 Claims: Other]]/ValbyACO_ICC6[[#This Row],[2021 Claims: Other]]-1),"NA")</f>
        <v>NA</v>
      </c>
      <c r="AO82" s="163" t="str">
        <f>IFERROR(IF(ValbyACO_ICC6[[#This Row],[2021 Member Months]]=0,"NA",ValbyACO_ICC6[[#This Row],[2022 TOTAL Non-Truncated Claims Expenses]]/ValbyACO_ICC6[[#This Row],[2021 TOTAL Non-Truncated Claims Expenses]]-1),"NA")</f>
        <v>NA</v>
      </c>
      <c r="AP82" s="163" t="str">
        <f>IFERROR(IF(ValbyACO_ICC6[[#This Row],[2021 Member Months]]=0,"NA",ValbyACO_ICC6[[#This Row],[2022 TOTAL Truncated Claims Expenses]]/ValbyACO_ICC6[[#This Row],[2021 TOTAL Truncated Claims Expenses]]-1),"NA")</f>
        <v>NA</v>
      </c>
      <c r="AQ82" s="163" t="str">
        <f>IFERROR(IF(ValbyACO_ICC6[[#This Row],[2021 Member Months]]=0,"NA",ValbyACO_ICC6[[#This Row],[2022 TOTAL Non-Claims Expenses]]/ValbyACO_ICC6[[#This Row],[2021 TOTAL Non-Claims Expenses]]-1),"NA")</f>
        <v>NA</v>
      </c>
      <c r="AR82" s="163" t="str">
        <f>IFERROR(IF(ValbyACO_ICC6[[#This Row],[2021 Member Months]]=0,"NA",ValbyACO_ICC6[[#This Row],[2022 TOTAL Non-Truncated Total Expenses]]/ValbyACO_ICC6[[#This Row],[2021 TOTAL Non-Truncated Total Expenses]]-1),"NA")</f>
        <v>NA</v>
      </c>
      <c r="AS82" s="164" t="str">
        <f>IFERROR(IF(ValbyACO_ICC6[[#This Row],[2021 Member Months]]=0,"NA",ValbyACO_ICC6[[#This Row],[2022 TOTAL Truncated Total Expenses]]/ValbyACO_ICC6[[#This Row],[2021 TOTAL Truncated Total Expenses]]-1),"NA")</f>
        <v>NA</v>
      </c>
    </row>
    <row r="83" spans="1:45" x14ac:dyDescent="0.35">
      <c r="A83" s="129"/>
      <c r="B83" s="250">
        <v>106</v>
      </c>
      <c r="C83" s="291" t="s">
        <v>170</v>
      </c>
      <c r="D83" s="272">
        <f>SUMIFS(ACOAETME2021[[#All],[Member Months]], ACOAETME2021[[#All],[Insurance Category Code]], $E$76, ACOAETME2021[[#All],[ACO/AE or Insurer Overall Organization ID]], ValbyACO_ICC6[[#This Row],[Org ID]])</f>
        <v>0</v>
      </c>
      <c r="E83" s="268" t="str">
        <f>IFERROR(IF(ValbyACO_ICC6[[#This Row],[2021 Member Months]]=0,"NA",SUMIFS(ACOAETME2021[[#All],[Claims: Hospital Inpatient]], ACOAETME2021[[#All],[Insurance Category Code]], $E$76, ACOAETME2021[[#All],[ACO/AE or Insurer Overall Organization ID]], ValbyACO_ICC6[[#This Row],[Org ID]])/ValbyACO_ICC6[[#This Row],[2021 Member Months]]), "NA")</f>
        <v>NA</v>
      </c>
      <c r="F83" s="268" t="str">
        <f>IFERROR(IF(ValbyACO_ICC6[[#This Row],[2021 Member Months]]=0,"NA",SUMIFS(ACOAETME2021[[#All],[Claims: Hospital Outpatient]], ACOAETME2021[[#All],[Insurance Category Code]], $E$76, ACOAETME2021[[#All],[ACO/AE or Insurer Overall Organization ID]], ValbyACO_ICC6[[#This Row],[Org ID]])/ValbyACO_ICC6[[#This Row],[2021 Member Months]]), "NA")</f>
        <v>NA</v>
      </c>
      <c r="G83" s="268" t="str">
        <f>IFERROR(IF(ValbyACO_ICC6[[#This Row],[2021 Member Months]]=0,"NA",SUMIFS(ACOAETME2021[[#All],[Claims: Professional, Primary Care]], ACOAETME2021[[#All],[Insurance Category Code]], $E$76, ACOAETME2021[[#All],[ACO/AE or Insurer Overall Organization ID]], ValbyACO_ICC6[[#This Row],[Org ID]])/ValbyACO_ICC6[[#This Row],[2021 Member Months]]), "NA")</f>
        <v>NA</v>
      </c>
      <c r="H83" s="268" t="str">
        <f>IFERROR(IF(ValbyACO_ICC6[[#This Row],[2021 Member Months]]=0,"NA",SUMIFS(ACOAETME2021[[#All],[Claims: Professional, Specialty Care]], ACOAETME2021[[#All],[Insurance Category Code]], $E$76, ACOAETME2021[[#All],[ACO/AE or Insurer Overall Organization ID]], ValbyACO_ICC6[[#This Row],[Org ID]])/ValbyACO_ICC6[[#This Row],[2021 Member Months]]), "NA")</f>
        <v>NA</v>
      </c>
      <c r="I83" s="268" t="str">
        <f>IFERROR(IF(ValbyACO_ICC6[[#This Row],[2021 Member Months]]=0,"NA",SUMIFS(ACOAETME2021[[#All],[Claims: Professional Other]], ACOAETME2021[[#All],[Insurance Category Code]], $E$76, ACOAETME2021[[#All],[ACO/AE or Insurer Overall Organization ID]], ValbyACO_ICC6[[#This Row],[Org ID]])/ValbyACO_ICC6[[#This Row],[2021 Member Months]]), "NA")</f>
        <v>NA</v>
      </c>
      <c r="J83" s="268" t="str">
        <f>IFERROR(IF(ValbyACO_ICC6[[#This Row],[2021 Member Months]]=0,"NA",SUMIFS(ACOAETME2021[[#All],[Claims: Pharmacy]], ACOAETME2021[[#All],[Insurance Category Code]], $E$76, ACOAETME2021[[#All],[ACO/AE or Insurer Overall Organization ID]], ValbyACO_ICC6[[#This Row],[Org ID]])/ValbyACO_ICC6[[#This Row],[2021 Member Months]]), "NA")</f>
        <v>NA</v>
      </c>
      <c r="K83" s="268" t="str">
        <f>IFERROR(IF(ValbyACO_ICC6[[#This Row],[2021 Member Months]]=0,"NA",SUMIFS(ACOAETME2021[[#All],[Claims: Long-Term Care]], ACOAETME2021[[#All],[Insurance Category Code]], $E$76, ACOAETME2021[[#All],[ACO/AE or Insurer Overall Organization ID]], ValbyACO_ICC6[[#This Row],[Org ID]])/ValbyACO_ICC6[[#This Row],[2021 Member Months]]), "NA")</f>
        <v>NA</v>
      </c>
      <c r="L83" s="268" t="str">
        <f>IFERROR(IF(ValbyACO_ICC6[[#This Row],[2021 Member Months]]=0,"NA",SUMIFS(ACOAETME2021[[#All],[Claims: Other]], ACOAETME2021[[#All],[Insurance Category Code]], $E$76, ACOAETME2021[[#All],[ACO/AE or Insurer Overall Organization ID]], ValbyACO_ICC6[[#This Row],[Org ID]])/ValbyACO_ICC6[[#This Row],[2021 Member Months]]), "NA")</f>
        <v>NA</v>
      </c>
      <c r="M83" s="118" t="str">
        <f>IF(ValbyACO_ICC6[[#This Row],[2021 Member Months]]=0,"NA",SUMIFS(ACOAETME2021[[#All],[TOTAL Non-Truncated Unadjusted Claims Expenses]], ACOAETME2021[[#All],[Insurance Category Code]], $E$76, ACOAETME2021[[#All],[ACO/AE or Insurer Overall Organization ID]], ValbyACO_ICC6[[#This Row],[Org ID]])/ValbyACO_ICC6[[#This Row],[2021 Member Months]])</f>
        <v>NA</v>
      </c>
      <c r="N83" s="118" t="str">
        <f>IF(ValbyACO_ICC6[[#This Row],[2021 Member Months]]=0,"NA",SUMIFS(ACOAETME2021[[#All],[TOTAL Truncated Unadjusted Claims Expenses (A19 - A17)]], ACOAETME2021[[#All],[Insurance Category Code]], $E$76, ACOAETME2021[[#All],[ACO/AE or Insurer Overall Organization ID]], ValbyACO_ICC6[[#This Row],[Org ID]])/ValbyACO_ICC6[[#This Row],[2021 Member Months]])</f>
        <v>NA</v>
      </c>
      <c r="O83" s="118" t="str">
        <f>IF(ValbyACO_ICC6[[#This Row],[2021 Member Months]]=0,"NA",SUMIFS(ACOAETME2021[[#All],[TOTAL Non-Claims Expenses]], ACOAETME2021[[#All],[Insurance Category Code]], $E$76, ACOAETME2021[[#All],[ACO/AE or Insurer Overall Organization ID]], ValbyACO_ICC6[[#This Row],[Org ID]])/ValbyACO_ICC6[[#This Row],[2021 Member Months]])</f>
        <v>NA</v>
      </c>
      <c r="P83" s="268" t="str">
        <f>IF(ValbyACO_ICC6[[#This Row],[2021 Member Months]]=0, "NA", SUMIFS(ACOAETME2021[[#All],[TOTAL Non-Truncated Unadjusted Expenses 
(A19+A21)]], ACOAETME2021[[#All],[Insurance Category Code]], $E$76, ACOAETME2021[[#All],[ACO/AE or Insurer Overall Organization ID]], ValbyACO_ICC6[[#This Row],[Org ID]])/ValbyACO_ICC6[[#This Row],[2021 Member Months]])</f>
        <v>NA</v>
      </c>
      <c r="Q83" s="119" t="str">
        <f>IF(ValbyACO_ICC6[[#This Row],[2021 Member Months]]=0, "NA", SUMIFS(ACOAETME2021[[#All],[TOTAL Truncated Unadjusted Expenses (A20+A21)]], ACOAETME2021[[#All],[Insurance Category Code]], $E$76, ACOAETME2021[[#All],[ACO/AE or Insurer Overall Organization ID]], ValbyACO_ICC6[[#This Row],[Org ID]])/ValbyACO_ICC6[[#This Row],[2021 Member Months]])</f>
        <v>NA</v>
      </c>
      <c r="R83" s="272">
        <f>SUMIFS(ACOAETME2022[[#All],[Member Months]],ACOAETME2022[[#All],[Insurance Category Code]], $E$76,ACOAETME2022[[#All],[ACO/AE or Insurer Overall Organization ID]],ValbyACO_ICC6[[#This Row],[Org ID]])</f>
        <v>0</v>
      </c>
      <c r="S83" s="118" t="str">
        <f>IF(ValbyACO_ICC6[[#This Row],[2022 Member Months]]=0,"NA",SUMIFS(ACOAETME2022[[#All],[Claims: Hospital Inpatient]],ACOAETME2022[[#All],[Insurance Category Code]], $E$76,ACOAETME2022[[#All],[ACO/AE or Insurer Overall Organization ID]],ValbyACO_ICC6[[#This Row],[Org ID]])/ValbyACO_ICC6[[#This Row],[2022 Member Months]])</f>
        <v>NA</v>
      </c>
      <c r="T83" s="118" t="str">
        <f>IF(ValbyACO_ICC6[[#This Row],[2022 Member Months]]=0,"NA",SUMIFS(ACOAETME2022[[#All],[Claims: Hospital Outpatient]],ACOAETME2022[[#All],[Insurance Category Code]], $E$76,ACOAETME2022[[#All],[ACO/AE or Insurer Overall Organization ID]],ValbyACO_ICC6[[#This Row],[Org ID]])/ValbyACO_ICC6[[#This Row],[2022 Member Months]])</f>
        <v>NA</v>
      </c>
      <c r="U83" s="118" t="str">
        <f>IF(ValbyACO_ICC6[[#This Row],[2022 Member Months]]=0,"NA",SUMIFS(ACOAETME2022[[#All],[Claims: Professional, Primary Care]],ACOAETME2022[[#All],[Insurance Category Code]], $E$76,ACOAETME2022[[#All],[ACO/AE or Insurer Overall Organization ID]],ValbyACO_ICC6[[#This Row],[Org ID]])/ValbyACO_ICC6[[#This Row],[2022 Member Months]])</f>
        <v>NA</v>
      </c>
      <c r="V83" s="118" t="str">
        <f>IF(ValbyACO_ICC6[[#This Row],[2022 Member Months]]=0,"NA",SUMIFS(ACOAETME2022[[#All],[Claims: Professional, Specialty Care]],ACOAETME2022[[#All],[Insurance Category Code]], $E$76,ACOAETME2022[[#All],[ACO/AE or Insurer Overall Organization ID]],ValbyACO_ICC6[[#This Row],[Org ID]])/ValbyACO_ICC6[[#This Row],[2022 Member Months]])</f>
        <v>NA</v>
      </c>
      <c r="W83" s="118" t="str">
        <f>IF(ValbyACO_ICC6[[#This Row],[2022 Member Months]]=0,"NA",SUMIFS(ACOAETME2022[[#All],[Claims: Professional Other]],ACOAETME2022[[#All],[Insurance Category Code]], $E$76,ACOAETME2022[[#All],[ACO/AE or Insurer Overall Organization ID]],ValbyACO_ICC6[[#This Row],[Org ID]])/ValbyACO_ICC6[[#This Row],[2022 Member Months]])</f>
        <v>NA</v>
      </c>
      <c r="X83" s="118" t="str">
        <f>IF(ValbyACO_ICC6[[#This Row],[2022 Member Months]]=0,"NA",SUMIFS(ACOAETME2022[[#All],[Claims: Pharmacy]],ACOAETME2022[[#All],[Insurance Category Code]], $E$76,ACOAETME2022[[#All],[ACO/AE or Insurer Overall Organization ID]],ValbyACO_ICC6[[#This Row],[Org ID]])/ValbyACO_ICC6[[#This Row],[2022 Member Months]])</f>
        <v>NA</v>
      </c>
      <c r="Y83" s="118" t="str">
        <f>IF(ValbyACO_ICC6[[#This Row],[2022 Member Months]]=0,"NA",SUMIFS(ACOAETME2022[[#All],[Claims: Long-Term Care]],ACOAETME2022[[#All],[Insurance Category Code]], $E$76,ACOAETME2022[[#All],[ACO/AE or Insurer Overall Organization ID]],ValbyACO_ICC6[[#This Row],[Org ID]])/ValbyACO_ICC6[[#This Row],[2022 Member Months]])</f>
        <v>NA</v>
      </c>
      <c r="Z83" s="118" t="str">
        <f>IF(ValbyACO_ICC6[[#This Row],[2022 Member Months]]=0,"NA",SUMIFS(ACOAETME2022[[#All],[Claims: Other]],ACOAETME2022[[#All],[Insurance Category Code]], $E$76,ACOAETME2022[[#All],[ACO/AE or Insurer Overall Organization ID]],ValbyACO_ICC6[[#This Row],[Org ID]])/ValbyACO_ICC6[[#This Row],[2022 Member Months]])</f>
        <v>NA</v>
      </c>
      <c r="AA83" s="118" t="str">
        <f>IF(ValbyACO_ICC6[[#This Row],[2022 Member Months]]=0,"NA",SUMIFS(ACOAETME2022[[#All],[TOTAL Non-Truncated Unadjusted Claims Expenses]],ACOAETME2022[[#All],[Insurance Category Code]], $E$76,ACOAETME2022[[#All],[ACO/AE or Insurer Overall Organization ID]],ValbyACO_ICC6[[#This Row],[Org ID]])/ValbyACO_ICC6[[#This Row],[2022 Member Months]])</f>
        <v>NA</v>
      </c>
      <c r="AB83" s="118" t="str">
        <f>IF(ValbyACO_ICC6[[#This Row],[2022 Member Months]]=0,"NA",SUMIFS(ACOAETME2022[[#All],[TOTAL Truncated Unadjusted Expenses (A20+A21)]],ACOAETME2022[[#All],[Insurance Category Code]], $E$76,ACOAETME2022[[#All],[ACO/AE or Insurer Overall Organization ID]],ValbyACO_ICC6[[#This Row],[Org ID]])/ValbyACO_ICC6[[#This Row],[2022 Member Months]])</f>
        <v>NA</v>
      </c>
      <c r="AC83" s="118" t="str">
        <f>IF(ValbyACO_ICC6[[#This Row],[2022 Member Months]]=0,"NA",SUMIFS(ACOAETME2022[[#All],[TOTAL Non-Claims Expenses]],ACOAETME2022[[#All],[Insurance Category Code]], $E$76,ACOAETME2022[[#All],[ACO/AE or Insurer Overall Organization ID]],ValbyACO_ICC6[[#This Row],[Org ID]])/ValbyACO_ICC6[[#This Row],[2022 Member Months]])</f>
        <v>NA</v>
      </c>
      <c r="AD83" s="268" t="str">
        <f>IF(ValbyACO_ICC6[[#This Row],[2022 Member Months]]=0,"NA",SUMIFS(ACOAETME2022[[#All],[TOTAL Non-Truncated Unadjusted Expenses 
(A19+A21)]],ACOAETME2022[[#All],[Insurance Category Code]], $E$76,ACOAETME2022[[#All],[ACO/AE or Insurer Overall Organization ID]],ValbyACO_ICC6[[#This Row],[Org ID]])/ValbyACO_ICC6[[#This Row],[2022 Member Months]])</f>
        <v>NA</v>
      </c>
      <c r="AE83" s="119" t="str">
        <f>IF(ValbyACO_ICC6[[#This Row],[2022 Member Months]]=0,"NA",SUMIFS(ACOAETME2022[[#All],[TOTAL Truncated Unadjusted Expenses (A20+A21)]],ACOAETME2022[[#All],[Insurance Category Code]],$E$76,ACOAETME2022[[#All],[ACO/AE or Insurer Overall Organization ID]],ValbyACO_ICC6[[#This Row],[Org ID]])/ValbyACO_ICC6[[#This Row],[2022 Member Months]])</f>
        <v>NA</v>
      </c>
      <c r="AF83" s="160" t="str">
        <f>IFERROR(IF(ValbyACO_ICC6[[#This Row],[2021 Member Months]]=0,"NA",ValbyACO_ICC6[[#This Row],[2022 Member Months]]/ValbyACO_ICC6[[#This Row],[2021 Member Months]]-1),"NA")</f>
        <v>NA</v>
      </c>
      <c r="AG83" s="161" t="str">
        <f>IFERROR(IF(ValbyACO_ICC6[[#This Row],[2021 Member Months]]=0,"NA",ValbyACO_ICC6[[#This Row],[2022 Claims: Hospital Inpatient]]/ValbyACO_ICC6[[#This Row],[2021 Claims: Hospital Inpatient]]-1),"NA")</f>
        <v>NA</v>
      </c>
      <c r="AH83" s="162" t="str">
        <f>IFERROR(IF(ValbyACO_ICC6[[#This Row],[2021 Member Months]]=0,"NA",ValbyACO_ICC6[[#This Row],[2022 Claims: Hospital Outpatient]]/ValbyACO_ICC6[[#This Row],[2021 Claims: Hospital Outpatient]]-1),"NA")</f>
        <v>NA</v>
      </c>
      <c r="AI83" s="162" t="str">
        <f>IFERROR(IF(ValbyACO_ICC6[[#This Row],[2021 Member Months]]=0,"NA",ValbyACO_ICC6[[#This Row],[2022 Claims: Professional, Primary Care]]/ValbyACO_ICC6[[#This Row],[2021 Claims: Professional, Primary Care]]-1),"NA")</f>
        <v>NA</v>
      </c>
      <c r="AJ83" s="162" t="str">
        <f>IFERROR(IF(ValbyACO_ICC6[[#This Row],[2021 Member Months]]=0,"NA",ValbyACO_ICC6[[#This Row],[2022 Claims: Professional, Specialty Care]]/ValbyACO_ICC6[[#This Row],[2021 Claims: Professional, Specialty Care]]-1),"NA")</f>
        <v>NA</v>
      </c>
      <c r="AK83" s="162" t="str">
        <f>IFERROR(IF(ValbyACO_ICC6[[#This Row],[2021 Member Months]]=0,"NA", ValbyACO_ICC6[[#This Row],[2022 Claims: Professional Other]]/ValbyACO_ICC6[[#This Row],[2021 Claims: Professional Other]]-1),"NA")</f>
        <v>NA</v>
      </c>
      <c r="AL83" s="162" t="str">
        <f>IFERROR(IF(ValbyACO_ICC6[[#This Row],[2021 Member Months]]=0,"NA",ValbyACO_ICC6[[#This Row],[2022 Claims: Pharmacy (Gross of Retail Pharmacy Rebates)]]/ValbyACO_ICC6[[#This Row],[2021 Claims: Pharmacy (Gross of  Rebates)]]-1),"NA")</f>
        <v>NA</v>
      </c>
      <c r="AM83" s="162" t="str">
        <f>IFERROR(IF(ValbyACO_ICC6[[#This Row],[2021 Member Months]]=0,"NA",ValbyACO_ICC6[[#This Row],[2022 Claims: Long-term Care]]/ValbyACO_ICC6[[#This Row],[2021 Claims: Long-term Care]]-1),"NA")</f>
        <v>NA</v>
      </c>
      <c r="AN83" s="162" t="str">
        <f>IFERROR(IF(ValbyACO_ICC6[[#This Row],[2021 Member Months]]=0,"NA",ValbyACO_ICC6[[#This Row],[2022 Claims: Other]]/ValbyACO_ICC6[[#This Row],[2021 Claims: Other]]-1),"NA")</f>
        <v>NA</v>
      </c>
      <c r="AO83" s="163" t="str">
        <f>IFERROR(IF(ValbyACO_ICC6[[#This Row],[2021 Member Months]]=0,"NA",ValbyACO_ICC6[[#This Row],[2022 TOTAL Non-Truncated Claims Expenses]]/ValbyACO_ICC6[[#This Row],[2021 TOTAL Non-Truncated Claims Expenses]]-1),"NA")</f>
        <v>NA</v>
      </c>
      <c r="AP83" s="163" t="str">
        <f>IFERROR(IF(ValbyACO_ICC6[[#This Row],[2021 Member Months]]=0,"NA",ValbyACO_ICC6[[#This Row],[2022 TOTAL Truncated Claims Expenses]]/ValbyACO_ICC6[[#This Row],[2021 TOTAL Truncated Claims Expenses]]-1),"NA")</f>
        <v>NA</v>
      </c>
      <c r="AQ83" s="163" t="str">
        <f>IFERROR(IF(ValbyACO_ICC6[[#This Row],[2021 Member Months]]=0,"NA",ValbyACO_ICC6[[#This Row],[2022 TOTAL Non-Claims Expenses]]/ValbyACO_ICC6[[#This Row],[2021 TOTAL Non-Claims Expenses]]-1),"NA")</f>
        <v>NA</v>
      </c>
      <c r="AR83" s="163" t="str">
        <f>IFERROR(IF(ValbyACO_ICC6[[#This Row],[2021 Member Months]]=0,"NA",ValbyACO_ICC6[[#This Row],[2022 TOTAL Non-Truncated Total Expenses]]/ValbyACO_ICC6[[#This Row],[2021 TOTAL Non-Truncated Total Expenses]]-1),"NA")</f>
        <v>NA</v>
      </c>
      <c r="AS83" s="164" t="str">
        <f>IFERROR(IF(ValbyACO_ICC6[[#This Row],[2021 Member Months]]=0,"NA",ValbyACO_ICC6[[#This Row],[2022 TOTAL Truncated Total Expenses]]/ValbyACO_ICC6[[#This Row],[2021 TOTAL Truncated Total Expenses]]-1),"NA")</f>
        <v>NA</v>
      </c>
    </row>
    <row r="84" spans="1:45" x14ac:dyDescent="0.35">
      <c r="A84" s="129"/>
      <c r="B84" s="250">
        <v>107</v>
      </c>
      <c r="C84" s="291" t="s">
        <v>171</v>
      </c>
      <c r="D84" s="272">
        <f>SUMIFS(ACOAETME2021[[#All],[Member Months]], ACOAETME2021[[#All],[Insurance Category Code]], $E$76, ACOAETME2021[[#All],[ACO/AE or Insurer Overall Organization ID]], ValbyACO_ICC6[[#This Row],[Org ID]])</f>
        <v>0</v>
      </c>
      <c r="E84" s="268" t="str">
        <f>IFERROR(IF(ValbyACO_ICC6[[#This Row],[2021 Member Months]]=0,"NA",SUMIFS(ACOAETME2021[[#All],[Claims: Hospital Inpatient]], ACOAETME2021[[#All],[Insurance Category Code]], $E$76, ACOAETME2021[[#All],[ACO/AE or Insurer Overall Organization ID]], ValbyACO_ICC6[[#This Row],[Org ID]])/ValbyACO_ICC6[[#This Row],[2021 Member Months]]), "NA")</f>
        <v>NA</v>
      </c>
      <c r="F84" s="268" t="str">
        <f>IFERROR(IF(ValbyACO_ICC6[[#This Row],[2021 Member Months]]=0,"NA",SUMIFS(ACOAETME2021[[#All],[Claims: Hospital Outpatient]], ACOAETME2021[[#All],[Insurance Category Code]], $E$76, ACOAETME2021[[#All],[ACO/AE or Insurer Overall Organization ID]], ValbyACO_ICC6[[#This Row],[Org ID]])/ValbyACO_ICC6[[#This Row],[2021 Member Months]]), "NA")</f>
        <v>NA</v>
      </c>
      <c r="G84" s="268" t="str">
        <f>IFERROR(IF(ValbyACO_ICC6[[#This Row],[2021 Member Months]]=0,"NA",SUMIFS(ACOAETME2021[[#All],[Claims: Professional, Primary Care]], ACOAETME2021[[#All],[Insurance Category Code]], $E$76, ACOAETME2021[[#All],[ACO/AE or Insurer Overall Organization ID]], ValbyACO_ICC6[[#This Row],[Org ID]])/ValbyACO_ICC6[[#This Row],[2021 Member Months]]), "NA")</f>
        <v>NA</v>
      </c>
      <c r="H84" s="268" t="str">
        <f>IFERROR(IF(ValbyACO_ICC6[[#This Row],[2021 Member Months]]=0,"NA",SUMIFS(ACOAETME2021[[#All],[Claims: Professional, Specialty Care]], ACOAETME2021[[#All],[Insurance Category Code]], $E$76, ACOAETME2021[[#All],[ACO/AE or Insurer Overall Organization ID]], ValbyACO_ICC6[[#This Row],[Org ID]])/ValbyACO_ICC6[[#This Row],[2021 Member Months]]), "NA")</f>
        <v>NA</v>
      </c>
      <c r="I84" s="268" t="str">
        <f>IFERROR(IF(ValbyACO_ICC6[[#This Row],[2021 Member Months]]=0,"NA",SUMIFS(ACOAETME2021[[#All],[Claims: Professional Other]], ACOAETME2021[[#All],[Insurance Category Code]], $E$76, ACOAETME2021[[#All],[ACO/AE or Insurer Overall Organization ID]], ValbyACO_ICC6[[#This Row],[Org ID]])/ValbyACO_ICC6[[#This Row],[2021 Member Months]]), "NA")</f>
        <v>NA</v>
      </c>
      <c r="J84" s="268" t="str">
        <f>IFERROR(IF(ValbyACO_ICC6[[#This Row],[2021 Member Months]]=0,"NA",SUMIFS(ACOAETME2021[[#All],[Claims: Pharmacy]], ACOAETME2021[[#All],[Insurance Category Code]], $E$76, ACOAETME2021[[#All],[ACO/AE or Insurer Overall Organization ID]], ValbyACO_ICC6[[#This Row],[Org ID]])/ValbyACO_ICC6[[#This Row],[2021 Member Months]]), "NA")</f>
        <v>NA</v>
      </c>
      <c r="K84" s="268" t="str">
        <f>IFERROR(IF(ValbyACO_ICC6[[#This Row],[2021 Member Months]]=0,"NA",SUMIFS(ACOAETME2021[[#All],[Claims: Long-Term Care]], ACOAETME2021[[#All],[Insurance Category Code]], $E$76, ACOAETME2021[[#All],[ACO/AE or Insurer Overall Organization ID]], ValbyACO_ICC6[[#This Row],[Org ID]])/ValbyACO_ICC6[[#This Row],[2021 Member Months]]), "NA")</f>
        <v>NA</v>
      </c>
      <c r="L84" s="268" t="str">
        <f>IFERROR(IF(ValbyACO_ICC6[[#This Row],[2021 Member Months]]=0,"NA",SUMIFS(ACOAETME2021[[#All],[Claims: Other]], ACOAETME2021[[#All],[Insurance Category Code]], $E$76, ACOAETME2021[[#All],[ACO/AE or Insurer Overall Organization ID]], ValbyACO_ICC6[[#This Row],[Org ID]])/ValbyACO_ICC6[[#This Row],[2021 Member Months]]), "NA")</f>
        <v>NA</v>
      </c>
      <c r="M84" s="118" t="str">
        <f>IF(ValbyACO_ICC6[[#This Row],[2021 Member Months]]=0,"NA",SUMIFS(ACOAETME2021[[#All],[TOTAL Non-Truncated Unadjusted Claims Expenses]], ACOAETME2021[[#All],[Insurance Category Code]], $E$76, ACOAETME2021[[#All],[ACO/AE or Insurer Overall Organization ID]], ValbyACO_ICC6[[#This Row],[Org ID]])/ValbyACO_ICC6[[#This Row],[2021 Member Months]])</f>
        <v>NA</v>
      </c>
      <c r="N84" s="118" t="str">
        <f>IF(ValbyACO_ICC6[[#This Row],[2021 Member Months]]=0,"NA",SUMIFS(ACOAETME2021[[#All],[TOTAL Truncated Unadjusted Claims Expenses (A19 - A17)]], ACOAETME2021[[#All],[Insurance Category Code]], $E$76, ACOAETME2021[[#All],[ACO/AE or Insurer Overall Organization ID]], ValbyACO_ICC6[[#This Row],[Org ID]])/ValbyACO_ICC6[[#This Row],[2021 Member Months]])</f>
        <v>NA</v>
      </c>
      <c r="O84" s="118" t="str">
        <f>IF(ValbyACO_ICC6[[#This Row],[2021 Member Months]]=0,"NA",SUMIFS(ACOAETME2021[[#All],[TOTAL Non-Claims Expenses]], ACOAETME2021[[#All],[Insurance Category Code]], $E$76, ACOAETME2021[[#All],[ACO/AE or Insurer Overall Organization ID]], ValbyACO_ICC6[[#This Row],[Org ID]])/ValbyACO_ICC6[[#This Row],[2021 Member Months]])</f>
        <v>NA</v>
      </c>
      <c r="P84" s="268" t="str">
        <f>IF(ValbyACO_ICC6[[#This Row],[2021 Member Months]]=0, "NA", SUMIFS(ACOAETME2021[[#All],[TOTAL Non-Truncated Unadjusted Expenses 
(A19+A21)]], ACOAETME2021[[#All],[Insurance Category Code]], $E$76, ACOAETME2021[[#All],[ACO/AE or Insurer Overall Organization ID]], ValbyACO_ICC6[[#This Row],[Org ID]])/ValbyACO_ICC6[[#This Row],[2021 Member Months]])</f>
        <v>NA</v>
      </c>
      <c r="Q84" s="119" t="str">
        <f>IF(ValbyACO_ICC6[[#This Row],[2021 Member Months]]=0, "NA", SUMIFS(ACOAETME2021[[#All],[TOTAL Truncated Unadjusted Expenses (A20+A21)]], ACOAETME2021[[#All],[Insurance Category Code]], $E$76, ACOAETME2021[[#All],[ACO/AE or Insurer Overall Organization ID]], ValbyACO_ICC6[[#This Row],[Org ID]])/ValbyACO_ICC6[[#This Row],[2021 Member Months]])</f>
        <v>NA</v>
      </c>
      <c r="R84" s="272">
        <f>SUMIFS(ACOAETME2022[[#All],[Member Months]],ACOAETME2022[[#All],[Insurance Category Code]], $E$76,ACOAETME2022[[#All],[ACO/AE or Insurer Overall Organization ID]],ValbyACO_ICC6[[#This Row],[Org ID]])</f>
        <v>0</v>
      </c>
      <c r="S84" s="118" t="str">
        <f>IF(ValbyACO_ICC6[[#This Row],[2022 Member Months]]=0,"NA",SUMIFS(ACOAETME2022[[#All],[Claims: Hospital Inpatient]],ACOAETME2022[[#All],[Insurance Category Code]], $E$76,ACOAETME2022[[#All],[ACO/AE or Insurer Overall Organization ID]],ValbyACO_ICC6[[#This Row],[Org ID]])/ValbyACO_ICC6[[#This Row],[2022 Member Months]])</f>
        <v>NA</v>
      </c>
      <c r="T84" s="118" t="str">
        <f>IF(ValbyACO_ICC6[[#This Row],[2022 Member Months]]=0,"NA",SUMIFS(ACOAETME2022[[#All],[Claims: Hospital Outpatient]],ACOAETME2022[[#All],[Insurance Category Code]], $E$76,ACOAETME2022[[#All],[ACO/AE or Insurer Overall Organization ID]],ValbyACO_ICC6[[#This Row],[Org ID]])/ValbyACO_ICC6[[#This Row],[2022 Member Months]])</f>
        <v>NA</v>
      </c>
      <c r="U84" s="118" t="str">
        <f>IF(ValbyACO_ICC6[[#This Row],[2022 Member Months]]=0,"NA",SUMIFS(ACOAETME2022[[#All],[Claims: Professional, Primary Care]],ACOAETME2022[[#All],[Insurance Category Code]], $E$76,ACOAETME2022[[#All],[ACO/AE or Insurer Overall Organization ID]],ValbyACO_ICC6[[#This Row],[Org ID]])/ValbyACO_ICC6[[#This Row],[2022 Member Months]])</f>
        <v>NA</v>
      </c>
      <c r="V84" s="118" t="str">
        <f>IF(ValbyACO_ICC6[[#This Row],[2022 Member Months]]=0,"NA",SUMIFS(ACOAETME2022[[#All],[Claims: Professional, Specialty Care]],ACOAETME2022[[#All],[Insurance Category Code]], $E$76,ACOAETME2022[[#All],[ACO/AE or Insurer Overall Organization ID]],ValbyACO_ICC6[[#This Row],[Org ID]])/ValbyACO_ICC6[[#This Row],[2022 Member Months]])</f>
        <v>NA</v>
      </c>
      <c r="W84" s="118" t="str">
        <f>IF(ValbyACO_ICC6[[#This Row],[2022 Member Months]]=0,"NA",SUMIFS(ACOAETME2022[[#All],[Claims: Professional Other]],ACOAETME2022[[#All],[Insurance Category Code]], $E$76,ACOAETME2022[[#All],[ACO/AE or Insurer Overall Organization ID]],ValbyACO_ICC6[[#This Row],[Org ID]])/ValbyACO_ICC6[[#This Row],[2022 Member Months]])</f>
        <v>NA</v>
      </c>
      <c r="X84" s="118" t="str">
        <f>IF(ValbyACO_ICC6[[#This Row],[2022 Member Months]]=0,"NA",SUMIFS(ACOAETME2022[[#All],[Claims: Pharmacy]],ACOAETME2022[[#All],[Insurance Category Code]], $E$76,ACOAETME2022[[#All],[ACO/AE or Insurer Overall Organization ID]],ValbyACO_ICC6[[#This Row],[Org ID]])/ValbyACO_ICC6[[#This Row],[2022 Member Months]])</f>
        <v>NA</v>
      </c>
      <c r="Y84" s="118" t="str">
        <f>IF(ValbyACO_ICC6[[#This Row],[2022 Member Months]]=0,"NA",SUMIFS(ACOAETME2022[[#All],[Claims: Long-Term Care]],ACOAETME2022[[#All],[Insurance Category Code]], $E$76,ACOAETME2022[[#All],[ACO/AE or Insurer Overall Organization ID]],ValbyACO_ICC6[[#This Row],[Org ID]])/ValbyACO_ICC6[[#This Row],[2022 Member Months]])</f>
        <v>NA</v>
      </c>
      <c r="Z84" s="118" t="str">
        <f>IF(ValbyACO_ICC6[[#This Row],[2022 Member Months]]=0,"NA",SUMIFS(ACOAETME2022[[#All],[Claims: Other]],ACOAETME2022[[#All],[Insurance Category Code]], $E$76,ACOAETME2022[[#All],[ACO/AE or Insurer Overall Organization ID]],ValbyACO_ICC6[[#This Row],[Org ID]])/ValbyACO_ICC6[[#This Row],[2022 Member Months]])</f>
        <v>NA</v>
      </c>
      <c r="AA84" s="118" t="str">
        <f>IF(ValbyACO_ICC6[[#This Row],[2022 Member Months]]=0,"NA",SUMIFS(ACOAETME2022[[#All],[TOTAL Non-Truncated Unadjusted Claims Expenses]],ACOAETME2022[[#All],[Insurance Category Code]], $E$76,ACOAETME2022[[#All],[ACO/AE or Insurer Overall Organization ID]],ValbyACO_ICC6[[#This Row],[Org ID]])/ValbyACO_ICC6[[#This Row],[2022 Member Months]])</f>
        <v>NA</v>
      </c>
      <c r="AB84" s="118" t="str">
        <f>IF(ValbyACO_ICC6[[#This Row],[2022 Member Months]]=0,"NA",SUMIFS(ACOAETME2022[[#All],[TOTAL Truncated Unadjusted Expenses (A20+A21)]],ACOAETME2022[[#All],[Insurance Category Code]], $E$76,ACOAETME2022[[#All],[ACO/AE or Insurer Overall Organization ID]],ValbyACO_ICC6[[#This Row],[Org ID]])/ValbyACO_ICC6[[#This Row],[2022 Member Months]])</f>
        <v>NA</v>
      </c>
      <c r="AC84" s="118" t="str">
        <f>IF(ValbyACO_ICC6[[#This Row],[2022 Member Months]]=0,"NA",SUMIFS(ACOAETME2022[[#All],[TOTAL Non-Claims Expenses]],ACOAETME2022[[#All],[Insurance Category Code]], $E$76,ACOAETME2022[[#All],[ACO/AE or Insurer Overall Organization ID]],ValbyACO_ICC6[[#This Row],[Org ID]])/ValbyACO_ICC6[[#This Row],[2022 Member Months]])</f>
        <v>NA</v>
      </c>
      <c r="AD84" s="268" t="str">
        <f>IF(ValbyACO_ICC6[[#This Row],[2022 Member Months]]=0,"NA",SUMIFS(ACOAETME2022[[#All],[TOTAL Non-Truncated Unadjusted Expenses 
(A19+A21)]],ACOAETME2022[[#All],[Insurance Category Code]], $E$76,ACOAETME2022[[#All],[ACO/AE or Insurer Overall Organization ID]],ValbyACO_ICC6[[#This Row],[Org ID]])/ValbyACO_ICC6[[#This Row],[2022 Member Months]])</f>
        <v>NA</v>
      </c>
      <c r="AE84" s="119" t="str">
        <f>IF(ValbyACO_ICC6[[#This Row],[2022 Member Months]]=0,"NA",SUMIFS(ACOAETME2022[[#All],[TOTAL Truncated Unadjusted Expenses (A20+A21)]],ACOAETME2022[[#All],[Insurance Category Code]],$E$76,ACOAETME2022[[#All],[ACO/AE or Insurer Overall Organization ID]],ValbyACO_ICC6[[#This Row],[Org ID]])/ValbyACO_ICC6[[#This Row],[2022 Member Months]])</f>
        <v>NA</v>
      </c>
      <c r="AF84" s="160" t="str">
        <f>IFERROR(IF(ValbyACO_ICC6[[#This Row],[2021 Member Months]]=0,"NA",ValbyACO_ICC6[[#This Row],[2022 Member Months]]/ValbyACO_ICC6[[#This Row],[2021 Member Months]]-1),"NA")</f>
        <v>NA</v>
      </c>
      <c r="AG84" s="161" t="str">
        <f>IFERROR(IF(ValbyACO_ICC6[[#This Row],[2021 Member Months]]=0,"NA",ValbyACO_ICC6[[#This Row],[2022 Claims: Hospital Inpatient]]/ValbyACO_ICC6[[#This Row],[2021 Claims: Hospital Inpatient]]-1),"NA")</f>
        <v>NA</v>
      </c>
      <c r="AH84" s="162" t="str">
        <f>IFERROR(IF(ValbyACO_ICC6[[#This Row],[2021 Member Months]]=0,"NA",ValbyACO_ICC6[[#This Row],[2022 Claims: Hospital Outpatient]]/ValbyACO_ICC6[[#This Row],[2021 Claims: Hospital Outpatient]]-1),"NA")</f>
        <v>NA</v>
      </c>
      <c r="AI84" s="162" t="str">
        <f>IFERROR(IF(ValbyACO_ICC6[[#This Row],[2021 Member Months]]=0,"NA",ValbyACO_ICC6[[#This Row],[2022 Claims: Professional, Primary Care]]/ValbyACO_ICC6[[#This Row],[2021 Claims: Professional, Primary Care]]-1),"NA")</f>
        <v>NA</v>
      </c>
      <c r="AJ84" s="162" t="str">
        <f>IFERROR(IF(ValbyACO_ICC6[[#This Row],[2021 Member Months]]=0,"NA",ValbyACO_ICC6[[#This Row],[2022 Claims: Professional, Specialty Care]]/ValbyACO_ICC6[[#This Row],[2021 Claims: Professional, Specialty Care]]-1),"NA")</f>
        <v>NA</v>
      </c>
      <c r="AK84" s="162" t="str">
        <f>IFERROR(IF(ValbyACO_ICC6[[#This Row],[2021 Member Months]]=0,"NA", ValbyACO_ICC6[[#This Row],[2022 Claims: Professional Other]]/ValbyACO_ICC6[[#This Row],[2021 Claims: Professional Other]]-1),"NA")</f>
        <v>NA</v>
      </c>
      <c r="AL84" s="162" t="str">
        <f>IFERROR(IF(ValbyACO_ICC6[[#This Row],[2021 Member Months]]=0,"NA",ValbyACO_ICC6[[#This Row],[2022 Claims: Pharmacy (Gross of Retail Pharmacy Rebates)]]/ValbyACO_ICC6[[#This Row],[2021 Claims: Pharmacy (Gross of  Rebates)]]-1),"NA")</f>
        <v>NA</v>
      </c>
      <c r="AM84" s="162" t="str">
        <f>IFERROR(IF(ValbyACO_ICC6[[#This Row],[2021 Member Months]]=0,"NA",ValbyACO_ICC6[[#This Row],[2022 Claims: Long-term Care]]/ValbyACO_ICC6[[#This Row],[2021 Claims: Long-term Care]]-1),"NA")</f>
        <v>NA</v>
      </c>
      <c r="AN84" s="162" t="str">
        <f>IFERROR(IF(ValbyACO_ICC6[[#This Row],[2021 Member Months]]=0,"NA",ValbyACO_ICC6[[#This Row],[2022 Claims: Other]]/ValbyACO_ICC6[[#This Row],[2021 Claims: Other]]-1),"NA")</f>
        <v>NA</v>
      </c>
      <c r="AO84" s="163" t="str">
        <f>IFERROR(IF(ValbyACO_ICC6[[#This Row],[2021 Member Months]]=0,"NA",ValbyACO_ICC6[[#This Row],[2022 TOTAL Non-Truncated Claims Expenses]]/ValbyACO_ICC6[[#This Row],[2021 TOTAL Non-Truncated Claims Expenses]]-1),"NA")</f>
        <v>NA</v>
      </c>
      <c r="AP84" s="163" t="str">
        <f>IFERROR(IF(ValbyACO_ICC6[[#This Row],[2021 Member Months]]=0,"NA",ValbyACO_ICC6[[#This Row],[2022 TOTAL Truncated Claims Expenses]]/ValbyACO_ICC6[[#This Row],[2021 TOTAL Truncated Claims Expenses]]-1),"NA")</f>
        <v>NA</v>
      </c>
      <c r="AQ84" s="163" t="str">
        <f>IFERROR(IF(ValbyACO_ICC6[[#This Row],[2021 Member Months]]=0,"NA",ValbyACO_ICC6[[#This Row],[2022 TOTAL Non-Claims Expenses]]/ValbyACO_ICC6[[#This Row],[2021 TOTAL Non-Claims Expenses]]-1),"NA")</f>
        <v>NA</v>
      </c>
      <c r="AR84" s="163" t="str">
        <f>IFERROR(IF(ValbyACO_ICC6[[#This Row],[2021 Member Months]]=0,"NA",ValbyACO_ICC6[[#This Row],[2022 TOTAL Non-Truncated Total Expenses]]/ValbyACO_ICC6[[#This Row],[2021 TOTAL Non-Truncated Total Expenses]]-1),"NA")</f>
        <v>NA</v>
      </c>
      <c r="AS84" s="164" t="str">
        <f>IFERROR(IF(ValbyACO_ICC6[[#This Row],[2021 Member Months]]=0,"NA",ValbyACO_ICC6[[#This Row],[2022 TOTAL Truncated Total Expenses]]/ValbyACO_ICC6[[#This Row],[2021 TOTAL Truncated Total Expenses]]-1),"NA")</f>
        <v>NA</v>
      </c>
    </row>
    <row r="85" spans="1:45" x14ac:dyDescent="0.35">
      <c r="A85" s="129"/>
      <c r="B85" s="250">
        <v>108</v>
      </c>
      <c r="C85" s="291" t="s">
        <v>508</v>
      </c>
      <c r="D85" s="272">
        <f>SUMIFS(ACOAETME2021[[#All],[Member Months]], ACOAETME2021[[#All],[Insurance Category Code]], $E$76, ACOAETME2021[[#All],[ACO/AE or Insurer Overall Organization ID]], ValbyACO_ICC6[[#This Row],[Org ID]])</f>
        <v>0</v>
      </c>
      <c r="E85" s="268" t="str">
        <f>IFERROR(IF(ValbyACO_ICC6[[#This Row],[2021 Member Months]]=0,"NA",SUMIFS(ACOAETME2021[[#All],[Claims: Hospital Inpatient]], ACOAETME2021[[#All],[Insurance Category Code]], $E$76, ACOAETME2021[[#All],[ACO/AE or Insurer Overall Organization ID]], ValbyACO_ICC6[[#This Row],[Org ID]])/ValbyACO_ICC6[[#This Row],[2021 Member Months]]), "NA")</f>
        <v>NA</v>
      </c>
      <c r="F85" s="268" t="str">
        <f>IFERROR(IF(ValbyACO_ICC6[[#This Row],[2021 Member Months]]=0,"NA",SUMIFS(ACOAETME2021[[#All],[Claims: Hospital Outpatient]], ACOAETME2021[[#All],[Insurance Category Code]], $E$76, ACOAETME2021[[#All],[ACO/AE or Insurer Overall Organization ID]], ValbyACO_ICC6[[#This Row],[Org ID]])/ValbyACO_ICC6[[#This Row],[2021 Member Months]]), "NA")</f>
        <v>NA</v>
      </c>
      <c r="G85" s="268" t="str">
        <f>IFERROR(IF(ValbyACO_ICC6[[#This Row],[2021 Member Months]]=0,"NA",SUMIFS(ACOAETME2021[[#All],[Claims: Professional, Primary Care]], ACOAETME2021[[#All],[Insurance Category Code]], $E$76, ACOAETME2021[[#All],[ACO/AE or Insurer Overall Organization ID]], ValbyACO_ICC6[[#This Row],[Org ID]])/ValbyACO_ICC6[[#This Row],[2021 Member Months]]), "NA")</f>
        <v>NA</v>
      </c>
      <c r="H85" s="268" t="str">
        <f>IFERROR(IF(ValbyACO_ICC6[[#This Row],[2021 Member Months]]=0,"NA",SUMIFS(ACOAETME2021[[#All],[Claims: Professional, Specialty Care]], ACOAETME2021[[#All],[Insurance Category Code]], $E$76, ACOAETME2021[[#All],[ACO/AE or Insurer Overall Organization ID]], ValbyACO_ICC6[[#This Row],[Org ID]])/ValbyACO_ICC6[[#This Row],[2021 Member Months]]), "NA")</f>
        <v>NA</v>
      </c>
      <c r="I85" s="268" t="str">
        <f>IFERROR(IF(ValbyACO_ICC6[[#This Row],[2021 Member Months]]=0,"NA",SUMIFS(ACOAETME2021[[#All],[Claims: Professional Other]], ACOAETME2021[[#All],[Insurance Category Code]], $E$76, ACOAETME2021[[#All],[ACO/AE or Insurer Overall Organization ID]], ValbyACO_ICC6[[#This Row],[Org ID]])/ValbyACO_ICC6[[#This Row],[2021 Member Months]]), "NA")</f>
        <v>NA</v>
      </c>
      <c r="J85" s="268" t="str">
        <f>IFERROR(IF(ValbyACO_ICC6[[#This Row],[2021 Member Months]]=0,"NA",SUMIFS(ACOAETME2021[[#All],[Claims: Pharmacy]], ACOAETME2021[[#All],[Insurance Category Code]], $E$76, ACOAETME2021[[#All],[ACO/AE or Insurer Overall Organization ID]], ValbyACO_ICC6[[#This Row],[Org ID]])/ValbyACO_ICC6[[#This Row],[2021 Member Months]]), "NA")</f>
        <v>NA</v>
      </c>
      <c r="K85" s="268" t="str">
        <f>IFERROR(IF(ValbyACO_ICC6[[#This Row],[2021 Member Months]]=0,"NA",SUMIFS(ACOAETME2021[[#All],[Claims: Long-Term Care]], ACOAETME2021[[#All],[Insurance Category Code]], $E$76, ACOAETME2021[[#All],[ACO/AE or Insurer Overall Organization ID]], ValbyACO_ICC6[[#This Row],[Org ID]])/ValbyACO_ICC6[[#This Row],[2021 Member Months]]), "NA")</f>
        <v>NA</v>
      </c>
      <c r="L85" s="268" t="str">
        <f>IFERROR(IF(ValbyACO_ICC6[[#This Row],[2021 Member Months]]=0,"NA",SUMIFS(ACOAETME2021[[#All],[Claims: Other]], ACOAETME2021[[#All],[Insurance Category Code]], $E$76, ACOAETME2021[[#All],[ACO/AE or Insurer Overall Organization ID]], ValbyACO_ICC6[[#This Row],[Org ID]])/ValbyACO_ICC6[[#This Row],[2021 Member Months]]), "NA")</f>
        <v>NA</v>
      </c>
      <c r="M85" s="118" t="str">
        <f>IF(ValbyACO_ICC6[[#This Row],[2021 Member Months]]=0,"NA",SUMIFS(ACOAETME2021[[#All],[TOTAL Non-Truncated Unadjusted Claims Expenses]], ACOAETME2021[[#All],[Insurance Category Code]], $E$76, ACOAETME2021[[#All],[ACO/AE or Insurer Overall Organization ID]], ValbyACO_ICC6[[#This Row],[Org ID]])/ValbyACO_ICC6[[#This Row],[2021 Member Months]])</f>
        <v>NA</v>
      </c>
      <c r="N85" s="118" t="str">
        <f>IF(ValbyACO_ICC6[[#This Row],[2021 Member Months]]=0,"NA",SUMIFS(ACOAETME2021[[#All],[TOTAL Truncated Unadjusted Claims Expenses (A19 - A17)]], ACOAETME2021[[#All],[Insurance Category Code]], $E$76, ACOAETME2021[[#All],[ACO/AE or Insurer Overall Organization ID]], ValbyACO_ICC6[[#This Row],[Org ID]])/ValbyACO_ICC6[[#This Row],[2021 Member Months]])</f>
        <v>NA</v>
      </c>
      <c r="O85" s="118" t="str">
        <f>IF(ValbyACO_ICC6[[#This Row],[2021 Member Months]]=0,"NA",SUMIFS(ACOAETME2021[[#All],[TOTAL Non-Claims Expenses]], ACOAETME2021[[#All],[Insurance Category Code]], $E$76, ACOAETME2021[[#All],[ACO/AE or Insurer Overall Organization ID]], ValbyACO_ICC6[[#This Row],[Org ID]])/ValbyACO_ICC6[[#This Row],[2021 Member Months]])</f>
        <v>NA</v>
      </c>
      <c r="P85" s="268" t="str">
        <f>IF(ValbyACO_ICC6[[#This Row],[2021 Member Months]]=0, "NA", SUMIFS(ACOAETME2021[[#All],[TOTAL Non-Truncated Unadjusted Expenses 
(A19+A21)]], ACOAETME2021[[#All],[Insurance Category Code]], $E$76, ACOAETME2021[[#All],[ACO/AE or Insurer Overall Organization ID]], ValbyACO_ICC6[[#This Row],[Org ID]])/ValbyACO_ICC6[[#This Row],[2021 Member Months]])</f>
        <v>NA</v>
      </c>
      <c r="Q85" s="119" t="str">
        <f>IF(ValbyACO_ICC6[[#This Row],[2021 Member Months]]=0, "NA", SUMIFS(ACOAETME2021[[#All],[TOTAL Truncated Unadjusted Expenses (A20+A21)]], ACOAETME2021[[#All],[Insurance Category Code]], $E$76, ACOAETME2021[[#All],[ACO/AE or Insurer Overall Organization ID]], ValbyACO_ICC6[[#This Row],[Org ID]])/ValbyACO_ICC6[[#This Row],[2021 Member Months]])</f>
        <v>NA</v>
      </c>
      <c r="R85" s="272">
        <f>SUMIFS(ACOAETME2022[[#All],[Member Months]],ACOAETME2022[[#All],[Insurance Category Code]], $E$76,ACOAETME2022[[#All],[ACO/AE or Insurer Overall Organization ID]],ValbyACO_ICC6[[#This Row],[Org ID]])</f>
        <v>0</v>
      </c>
      <c r="S85" s="118" t="str">
        <f>IF(ValbyACO_ICC6[[#This Row],[2022 Member Months]]=0,"NA",SUMIFS(ACOAETME2022[[#All],[Claims: Hospital Inpatient]],ACOAETME2022[[#All],[Insurance Category Code]], $E$76,ACOAETME2022[[#All],[ACO/AE or Insurer Overall Organization ID]],ValbyACO_ICC6[[#This Row],[Org ID]])/ValbyACO_ICC6[[#This Row],[2022 Member Months]])</f>
        <v>NA</v>
      </c>
      <c r="T85" s="118" t="str">
        <f>IF(ValbyACO_ICC6[[#This Row],[2022 Member Months]]=0,"NA",SUMIFS(ACOAETME2022[[#All],[Claims: Hospital Outpatient]],ACOAETME2022[[#All],[Insurance Category Code]], $E$76,ACOAETME2022[[#All],[ACO/AE or Insurer Overall Organization ID]],ValbyACO_ICC6[[#This Row],[Org ID]])/ValbyACO_ICC6[[#This Row],[2022 Member Months]])</f>
        <v>NA</v>
      </c>
      <c r="U85" s="118" t="str">
        <f>IF(ValbyACO_ICC6[[#This Row],[2022 Member Months]]=0,"NA",SUMIFS(ACOAETME2022[[#All],[Claims: Professional, Primary Care]],ACOAETME2022[[#All],[Insurance Category Code]], $E$76,ACOAETME2022[[#All],[ACO/AE or Insurer Overall Organization ID]],ValbyACO_ICC6[[#This Row],[Org ID]])/ValbyACO_ICC6[[#This Row],[2022 Member Months]])</f>
        <v>NA</v>
      </c>
      <c r="V85" s="118" t="str">
        <f>IF(ValbyACO_ICC6[[#This Row],[2022 Member Months]]=0,"NA",SUMIFS(ACOAETME2022[[#All],[Claims: Professional, Specialty Care]],ACOAETME2022[[#All],[Insurance Category Code]], $E$76,ACOAETME2022[[#All],[ACO/AE or Insurer Overall Organization ID]],ValbyACO_ICC6[[#This Row],[Org ID]])/ValbyACO_ICC6[[#This Row],[2022 Member Months]])</f>
        <v>NA</v>
      </c>
      <c r="W85" s="118" t="str">
        <f>IF(ValbyACO_ICC6[[#This Row],[2022 Member Months]]=0,"NA",SUMIFS(ACOAETME2022[[#All],[Claims: Professional Other]],ACOAETME2022[[#All],[Insurance Category Code]], $E$76,ACOAETME2022[[#All],[ACO/AE or Insurer Overall Organization ID]],ValbyACO_ICC6[[#This Row],[Org ID]])/ValbyACO_ICC6[[#This Row],[2022 Member Months]])</f>
        <v>NA</v>
      </c>
      <c r="X85" s="118" t="str">
        <f>IF(ValbyACO_ICC6[[#This Row],[2022 Member Months]]=0,"NA",SUMIFS(ACOAETME2022[[#All],[Claims: Pharmacy]],ACOAETME2022[[#All],[Insurance Category Code]], $E$76,ACOAETME2022[[#All],[ACO/AE or Insurer Overall Organization ID]],ValbyACO_ICC6[[#This Row],[Org ID]])/ValbyACO_ICC6[[#This Row],[2022 Member Months]])</f>
        <v>NA</v>
      </c>
      <c r="Y85" s="118" t="str">
        <f>IF(ValbyACO_ICC6[[#This Row],[2022 Member Months]]=0,"NA",SUMIFS(ACOAETME2022[[#All],[Claims: Long-Term Care]],ACOAETME2022[[#All],[Insurance Category Code]], $E$76,ACOAETME2022[[#All],[ACO/AE or Insurer Overall Organization ID]],ValbyACO_ICC6[[#This Row],[Org ID]])/ValbyACO_ICC6[[#This Row],[2022 Member Months]])</f>
        <v>NA</v>
      </c>
      <c r="Z85" s="118" t="str">
        <f>IF(ValbyACO_ICC6[[#This Row],[2022 Member Months]]=0,"NA",SUMIFS(ACOAETME2022[[#All],[Claims: Other]],ACOAETME2022[[#All],[Insurance Category Code]], $E$76,ACOAETME2022[[#All],[ACO/AE or Insurer Overall Organization ID]],ValbyACO_ICC6[[#This Row],[Org ID]])/ValbyACO_ICC6[[#This Row],[2022 Member Months]])</f>
        <v>NA</v>
      </c>
      <c r="AA85" s="118" t="str">
        <f>IF(ValbyACO_ICC6[[#This Row],[2022 Member Months]]=0,"NA",SUMIFS(ACOAETME2022[[#All],[TOTAL Non-Truncated Unadjusted Claims Expenses]],ACOAETME2022[[#All],[Insurance Category Code]], $E$76,ACOAETME2022[[#All],[ACO/AE or Insurer Overall Organization ID]],ValbyACO_ICC6[[#This Row],[Org ID]])/ValbyACO_ICC6[[#This Row],[2022 Member Months]])</f>
        <v>NA</v>
      </c>
      <c r="AB85" s="118" t="str">
        <f>IF(ValbyACO_ICC6[[#This Row],[2022 Member Months]]=0,"NA",SUMIFS(ACOAETME2022[[#All],[TOTAL Truncated Unadjusted Expenses (A20+A21)]],ACOAETME2022[[#All],[Insurance Category Code]], $E$76,ACOAETME2022[[#All],[ACO/AE or Insurer Overall Organization ID]],ValbyACO_ICC6[[#This Row],[Org ID]])/ValbyACO_ICC6[[#This Row],[2022 Member Months]])</f>
        <v>NA</v>
      </c>
      <c r="AC85" s="118" t="str">
        <f>IF(ValbyACO_ICC6[[#This Row],[2022 Member Months]]=0,"NA",SUMIFS(ACOAETME2022[[#All],[TOTAL Non-Claims Expenses]],ACOAETME2022[[#All],[Insurance Category Code]], $E$76,ACOAETME2022[[#All],[ACO/AE or Insurer Overall Organization ID]],ValbyACO_ICC6[[#This Row],[Org ID]])/ValbyACO_ICC6[[#This Row],[2022 Member Months]])</f>
        <v>NA</v>
      </c>
      <c r="AD85" s="268" t="str">
        <f>IF(ValbyACO_ICC6[[#This Row],[2022 Member Months]]=0,"NA",SUMIFS(ACOAETME2022[[#All],[TOTAL Non-Truncated Unadjusted Expenses 
(A19+A21)]],ACOAETME2022[[#All],[Insurance Category Code]], $E$76,ACOAETME2022[[#All],[ACO/AE or Insurer Overall Organization ID]],ValbyACO_ICC6[[#This Row],[Org ID]])/ValbyACO_ICC6[[#This Row],[2022 Member Months]])</f>
        <v>NA</v>
      </c>
      <c r="AE85" s="119" t="str">
        <f>IF(ValbyACO_ICC6[[#This Row],[2022 Member Months]]=0,"NA",SUMIFS(ACOAETME2022[[#All],[TOTAL Truncated Unadjusted Expenses (A20+A21)]],ACOAETME2022[[#All],[Insurance Category Code]],$E$76,ACOAETME2022[[#All],[ACO/AE or Insurer Overall Organization ID]],ValbyACO_ICC6[[#This Row],[Org ID]])/ValbyACO_ICC6[[#This Row],[2022 Member Months]])</f>
        <v>NA</v>
      </c>
      <c r="AF85" s="160" t="str">
        <f>IFERROR(IF(ValbyACO_ICC6[[#This Row],[2021 Member Months]]=0,"NA",ValbyACO_ICC6[[#This Row],[2022 Member Months]]/ValbyACO_ICC6[[#This Row],[2021 Member Months]]-1),"NA")</f>
        <v>NA</v>
      </c>
      <c r="AG85" s="161" t="str">
        <f>IFERROR(IF(ValbyACO_ICC6[[#This Row],[2021 Member Months]]=0,"NA",ValbyACO_ICC6[[#This Row],[2022 Claims: Hospital Inpatient]]/ValbyACO_ICC6[[#This Row],[2021 Claims: Hospital Inpatient]]-1),"NA")</f>
        <v>NA</v>
      </c>
      <c r="AH85" s="162" t="str">
        <f>IFERROR(IF(ValbyACO_ICC6[[#This Row],[2021 Member Months]]=0,"NA",ValbyACO_ICC6[[#This Row],[2022 Claims: Hospital Outpatient]]/ValbyACO_ICC6[[#This Row],[2021 Claims: Hospital Outpatient]]-1),"NA")</f>
        <v>NA</v>
      </c>
      <c r="AI85" s="162" t="str">
        <f>IFERROR(IF(ValbyACO_ICC6[[#This Row],[2021 Member Months]]=0,"NA",ValbyACO_ICC6[[#This Row],[2022 Claims: Professional, Primary Care]]/ValbyACO_ICC6[[#This Row],[2021 Claims: Professional, Primary Care]]-1),"NA")</f>
        <v>NA</v>
      </c>
      <c r="AJ85" s="162" t="str">
        <f>IFERROR(IF(ValbyACO_ICC6[[#This Row],[2021 Member Months]]=0,"NA",ValbyACO_ICC6[[#This Row],[2022 Claims: Professional, Specialty Care]]/ValbyACO_ICC6[[#This Row],[2021 Claims: Professional, Specialty Care]]-1),"NA")</f>
        <v>NA</v>
      </c>
      <c r="AK85" s="162" t="str">
        <f>IFERROR(IF(ValbyACO_ICC6[[#This Row],[2021 Member Months]]=0,"NA", ValbyACO_ICC6[[#This Row],[2022 Claims: Professional Other]]/ValbyACO_ICC6[[#This Row],[2021 Claims: Professional Other]]-1),"NA")</f>
        <v>NA</v>
      </c>
      <c r="AL85" s="162" t="str">
        <f>IFERROR(IF(ValbyACO_ICC6[[#This Row],[2021 Member Months]]=0,"NA",ValbyACO_ICC6[[#This Row],[2022 Claims: Pharmacy (Gross of Retail Pharmacy Rebates)]]/ValbyACO_ICC6[[#This Row],[2021 Claims: Pharmacy (Gross of  Rebates)]]-1),"NA")</f>
        <v>NA</v>
      </c>
      <c r="AM85" s="162" t="str">
        <f>IFERROR(IF(ValbyACO_ICC6[[#This Row],[2021 Member Months]]=0,"NA",ValbyACO_ICC6[[#This Row],[2022 Claims: Long-term Care]]/ValbyACO_ICC6[[#This Row],[2021 Claims: Long-term Care]]-1),"NA")</f>
        <v>NA</v>
      </c>
      <c r="AN85" s="162" t="str">
        <f>IFERROR(IF(ValbyACO_ICC6[[#This Row],[2021 Member Months]]=0,"NA",ValbyACO_ICC6[[#This Row],[2022 Claims: Other]]/ValbyACO_ICC6[[#This Row],[2021 Claims: Other]]-1),"NA")</f>
        <v>NA</v>
      </c>
      <c r="AO85" s="163" t="str">
        <f>IFERROR(IF(ValbyACO_ICC6[[#This Row],[2021 Member Months]]=0,"NA",ValbyACO_ICC6[[#This Row],[2022 TOTAL Non-Truncated Claims Expenses]]/ValbyACO_ICC6[[#This Row],[2021 TOTAL Non-Truncated Claims Expenses]]-1),"NA")</f>
        <v>NA</v>
      </c>
      <c r="AP85" s="163" t="str">
        <f>IFERROR(IF(ValbyACO_ICC6[[#This Row],[2021 Member Months]]=0,"NA",ValbyACO_ICC6[[#This Row],[2022 TOTAL Truncated Claims Expenses]]/ValbyACO_ICC6[[#This Row],[2021 TOTAL Truncated Claims Expenses]]-1),"NA")</f>
        <v>NA</v>
      </c>
      <c r="AQ85" s="163" t="str">
        <f>IFERROR(IF(ValbyACO_ICC6[[#This Row],[2021 Member Months]]=0,"NA",ValbyACO_ICC6[[#This Row],[2022 TOTAL Non-Claims Expenses]]/ValbyACO_ICC6[[#This Row],[2021 TOTAL Non-Claims Expenses]]-1),"NA")</f>
        <v>NA</v>
      </c>
      <c r="AR85" s="163" t="str">
        <f>IFERROR(IF(ValbyACO_ICC6[[#This Row],[2021 Member Months]]=0,"NA",ValbyACO_ICC6[[#This Row],[2022 TOTAL Non-Truncated Total Expenses]]/ValbyACO_ICC6[[#This Row],[2021 TOTAL Non-Truncated Total Expenses]]-1),"NA")</f>
        <v>NA</v>
      </c>
      <c r="AS85" s="164" t="str">
        <f>IFERROR(IF(ValbyACO_ICC6[[#This Row],[2021 Member Months]]=0,"NA",ValbyACO_ICC6[[#This Row],[2022 TOTAL Truncated Total Expenses]]/ValbyACO_ICC6[[#This Row],[2021 TOTAL Truncated Total Expenses]]-1),"NA")</f>
        <v>NA</v>
      </c>
    </row>
    <row r="86" spans="1:45" x14ac:dyDescent="0.35">
      <c r="A86" s="129"/>
      <c r="B86" s="250">
        <v>999</v>
      </c>
      <c r="C86" s="291" t="s">
        <v>172</v>
      </c>
      <c r="D86" s="272">
        <f>SUMIFS(ACOAETME2021[[#All],[Member Months]], ACOAETME2021[[#All],[Insurance Category Code]], $E$76, ACOAETME2021[[#All],[ACO/AE or Insurer Overall Organization ID]], ValbyACO_ICC6[[#This Row],[Org ID]])</f>
        <v>0</v>
      </c>
      <c r="E86" s="268" t="str">
        <f>IFERROR(IF(ValbyACO_ICC6[[#This Row],[2021 Member Months]]=0,"NA",SUMIFS(ACOAETME2021[[#All],[Claims: Hospital Inpatient]], ACOAETME2021[[#All],[Insurance Category Code]], $E$76, ACOAETME2021[[#All],[ACO/AE or Insurer Overall Organization ID]], ValbyACO_ICC6[[#This Row],[Org ID]])/ValbyACO_ICC6[[#This Row],[2021 Member Months]]), "NA")</f>
        <v>NA</v>
      </c>
      <c r="F86" s="268" t="str">
        <f>IFERROR(IF(ValbyACO_ICC6[[#This Row],[2021 Member Months]]=0,"NA",SUMIFS(ACOAETME2021[[#All],[Claims: Hospital Outpatient]], ACOAETME2021[[#All],[Insurance Category Code]], $E$76, ACOAETME2021[[#All],[ACO/AE or Insurer Overall Organization ID]], ValbyACO_ICC6[[#This Row],[Org ID]])/ValbyACO_ICC6[[#This Row],[2021 Member Months]]), "NA")</f>
        <v>NA</v>
      </c>
      <c r="G86" s="268" t="str">
        <f>IFERROR(IF(ValbyACO_ICC6[[#This Row],[2021 Member Months]]=0,"NA",SUMIFS(ACOAETME2021[[#All],[Claims: Professional, Primary Care]], ACOAETME2021[[#All],[Insurance Category Code]], $E$76, ACOAETME2021[[#All],[ACO/AE or Insurer Overall Organization ID]], ValbyACO_ICC6[[#This Row],[Org ID]])/ValbyACO_ICC6[[#This Row],[2021 Member Months]]), "NA")</f>
        <v>NA</v>
      </c>
      <c r="H86" s="268" t="str">
        <f>IFERROR(IF(ValbyACO_ICC6[[#This Row],[2021 Member Months]]=0,"NA",SUMIFS(ACOAETME2021[[#All],[Claims: Professional, Specialty Care]], ACOAETME2021[[#All],[Insurance Category Code]], $E$76, ACOAETME2021[[#All],[ACO/AE or Insurer Overall Organization ID]], ValbyACO_ICC6[[#This Row],[Org ID]])/ValbyACO_ICC6[[#This Row],[2021 Member Months]]), "NA")</f>
        <v>NA</v>
      </c>
      <c r="I86" s="268" t="str">
        <f>IFERROR(IF(ValbyACO_ICC6[[#This Row],[2021 Member Months]]=0,"NA",SUMIFS(ACOAETME2021[[#All],[Claims: Professional Other]], ACOAETME2021[[#All],[Insurance Category Code]], $E$76, ACOAETME2021[[#All],[ACO/AE or Insurer Overall Organization ID]], ValbyACO_ICC6[[#This Row],[Org ID]])/ValbyACO_ICC6[[#This Row],[2021 Member Months]]), "NA")</f>
        <v>NA</v>
      </c>
      <c r="J86" s="268" t="str">
        <f>IFERROR(IF(ValbyACO_ICC6[[#This Row],[2021 Member Months]]=0,"NA",SUMIFS(ACOAETME2021[[#All],[Claims: Pharmacy]], ACOAETME2021[[#All],[Insurance Category Code]], $E$76, ACOAETME2021[[#All],[ACO/AE or Insurer Overall Organization ID]], ValbyACO_ICC6[[#This Row],[Org ID]])/ValbyACO_ICC6[[#This Row],[2021 Member Months]]), "NA")</f>
        <v>NA</v>
      </c>
      <c r="K86" s="268" t="str">
        <f>IFERROR(IF(ValbyACO_ICC6[[#This Row],[2021 Member Months]]=0,"NA",SUMIFS(ACOAETME2021[[#All],[Claims: Long-Term Care]], ACOAETME2021[[#All],[Insurance Category Code]], $E$76, ACOAETME2021[[#All],[ACO/AE or Insurer Overall Organization ID]], ValbyACO_ICC6[[#This Row],[Org ID]])/ValbyACO_ICC6[[#This Row],[2021 Member Months]]), "NA")</f>
        <v>NA</v>
      </c>
      <c r="L86" s="268" t="str">
        <f>IFERROR(IF(ValbyACO_ICC6[[#This Row],[2021 Member Months]]=0,"NA",SUMIFS(ACOAETME2021[[#All],[Claims: Other]], ACOAETME2021[[#All],[Insurance Category Code]], $E$76, ACOAETME2021[[#All],[ACO/AE or Insurer Overall Organization ID]], ValbyACO_ICC6[[#This Row],[Org ID]])/ValbyACO_ICC6[[#This Row],[2021 Member Months]]), "NA")</f>
        <v>NA</v>
      </c>
      <c r="M86" s="118" t="str">
        <f>IF(ValbyACO_ICC6[[#This Row],[2021 Member Months]]=0,"NA",SUMIFS(ACOAETME2021[[#All],[TOTAL Non-Truncated Unadjusted Claims Expenses]], ACOAETME2021[[#All],[Insurance Category Code]], $E$76, ACOAETME2021[[#All],[ACO/AE or Insurer Overall Organization ID]], ValbyACO_ICC6[[#This Row],[Org ID]])/ValbyACO_ICC6[[#This Row],[2021 Member Months]])</f>
        <v>NA</v>
      </c>
      <c r="N86" s="118" t="str">
        <f>IF(ValbyACO_ICC6[[#This Row],[2021 Member Months]]=0,"NA",SUMIFS(ACOAETME2021[[#All],[TOTAL Truncated Unadjusted Claims Expenses (A19 - A17)]], ACOAETME2021[[#All],[Insurance Category Code]], $E$76, ACOAETME2021[[#All],[ACO/AE or Insurer Overall Organization ID]], ValbyACO_ICC6[[#This Row],[Org ID]])/ValbyACO_ICC6[[#This Row],[2021 Member Months]])</f>
        <v>NA</v>
      </c>
      <c r="O86" s="118" t="str">
        <f>IF(ValbyACO_ICC6[[#This Row],[2021 Member Months]]=0,"NA",SUMIFS(ACOAETME2021[[#All],[TOTAL Non-Claims Expenses]], ACOAETME2021[[#All],[Insurance Category Code]], $E$76, ACOAETME2021[[#All],[ACO/AE or Insurer Overall Organization ID]], ValbyACO_ICC6[[#This Row],[Org ID]])/ValbyACO_ICC6[[#This Row],[2021 Member Months]])</f>
        <v>NA</v>
      </c>
      <c r="P86" s="268" t="str">
        <f>IF(ValbyACO_ICC6[[#This Row],[2021 Member Months]]=0, "NA", SUMIFS(ACOAETME2021[[#All],[TOTAL Non-Truncated Unadjusted Expenses 
(A19+A21)]], ACOAETME2021[[#All],[Insurance Category Code]], $E$76, ACOAETME2021[[#All],[ACO/AE or Insurer Overall Organization ID]], ValbyACO_ICC6[[#This Row],[Org ID]])/ValbyACO_ICC6[[#This Row],[2021 Member Months]])</f>
        <v>NA</v>
      </c>
      <c r="Q86" s="119" t="str">
        <f>IF(ValbyACO_ICC6[[#This Row],[2021 Member Months]]=0, "NA", SUMIFS(ACOAETME2021[[#All],[TOTAL Truncated Unadjusted Expenses (A20+A21)]], ACOAETME2021[[#All],[Insurance Category Code]], $E$76, ACOAETME2021[[#All],[ACO/AE or Insurer Overall Organization ID]], ValbyACO_ICC6[[#This Row],[Org ID]])/ValbyACO_ICC6[[#This Row],[2021 Member Months]])</f>
        <v>NA</v>
      </c>
      <c r="R86" s="272">
        <f>SUMIFS(ACOAETME2022[[#All],[Member Months]],ACOAETME2022[[#All],[Insurance Category Code]], $E$76,ACOAETME2022[[#All],[ACO/AE or Insurer Overall Organization ID]],ValbyACO_ICC6[[#This Row],[Org ID]])</f>
        <v>0</v>
      </c>
      <c r="S86" s="118" t="str">
        <f>IF(ValbyACO_ICC6[[#This Row],[2022 Member Months]]=0,"NA",SUMIFS(ACOAETME2022[[#All],[Claims: Hospital Inpatient]],ACOAETME2022[[#All],[Insurance Category Code]], $E$76,ACOAETME2022[[#All],[ACO/AE or Insurer Overall Organization ID]],ValbyACO_ICC6[[#This Row],[Org ID]])/ValbyACO_ICC6[[#This Row],[2022 Member Months]])</f>
        <v>NA</v>
      </c>
      <c r="T86" s="118" t="str">
        <f>IF(ValbyACO_ICC6[[#This Row],[2022 Member Months]]=0,"NA",SUMIFS(ACOAETME2022[[#All],[Claims: Hospital Outpatient]],ACOAETME2022[[#All],[Insurance Category Code]], $E$76,ACOAETME2022[[#All],[ACO/AE or Insurer Overall Organization ID]],ValbyACO_ICC6[[#This Row],[Org ID]])/ValbyACO_ICC6[[#This Row],[2022 Member Months]])</f>
        <v>NA</v>
      </c>
      <c r="U86" s="118" t="str">
        <f>IF(ValbyACO_ICC6[[#This Row],[2022 Member Months]]=0,"NA",SUMIFS(ACOAETME2022[[#All],[Claims: Professional, Primary Care]],ACOAETME2022[[#All],[Insurance Category Code]], $E$76,ACOAETME2022[[#All],[ACO/AE or Insurer Overall Organization ID]],ValbyACO_ICC6[[#This Row],[Org ID]])/ValbyACO_ICC6[[#This Row],[2022 Member Months]])</f>
        <v>NA</v>
      </c>
      <c r="V86" s="118" t="str">
        <f>IF(ValbyACO_ICC6[[#This Row],[2022 Member Months]]=0,"NA",SUMIFS(ACOAETME2022[[#All],[Claims: Professional, Specialty Care]],ACOAETME2022[[#All],[Insurance Category Code]], $E$76,ACOAETME2022[[#All],[ACO/AE or Insurer Overall Organization ID]],ValbyACO_ICC6[[#This Row],[Org ID]])/ValbyACO_ICC6[[#This Row],[2022 Member Months]])</f>
        <v>NA</v>
      </c>
      <c r="W86" s="118" t="str">
        <f>IF(ValbyACO_ICC6[[#This Row],[2022 Member Months]]=0,"NA",SUMIFS(ACOAETME2022[[#All],[Claims: Professional Other]],ACOAETME2022[[#All],[Insurance Category Code]], $E$76,ACOAETME2022[[#All],[ACO/AE or Insurer Overall Organization ID]],ValbyACO_ICC6[[#This Row],[Org ID]])/ValbyACO_ICC6[[#This Row],[2022 Member Months]])</f>
        <v>NA</v>
      </c>
      <c r="X86" s="118" t="str">
        <f>IF(ValbyACO_ICC6[[#This Row],[2022 Member Months]]=0,"NA",SUMIFS(ACOAETME2022[[#All],[Claims: Pharmacy]],ACOAETME2022[[#All],[Insurance Category Code]], $E$76,ACOAETME2022[[#All],[ACO/AE or Insurer Overall Organization ID]],ValbyACO_ICC6[[#This Row],[Org ID]])/ValbyACO_ICC6[[#This Row],[2022 Member Months]])</f>
        <v>NA</v>
      </c>
      <c r="Y86" s="118" t="str">
        <f>IF(ValbyACO_ICC6[[#This Row],[2022 Member Months]]=0,"NA",SUMIFS(ACOAETME2022[[#All],[Claims: Long-Term Care]],ACOAETME2022[[#All],[Insurance Category Code]], $E$76,ACOAETME2022[[#All],[ACO/AE or Insurer Overall Organization ID]],ValbyACO_ICC6[[#This Row],[Org ID]])/ValbyACO_ICC6[[#This Row],[2022 Member Months]])</f>
        <v>NA</v>
      </c>
      <c r="Z86" s="118" t="str">
        <f>IF(ValbyACO_ICC6[[#This Row],[2022 Member Months]]=0,"NA",SUMIFS(ACOAETME2022[[#All],[Claims: Other]],ACOAETME2022[[#All],[Insurance Category Code]], $E$76,ACOAETME2022[[#All],[ACO/AE or Insurer Overall Organization ID]],ValbyACO_ICC6[[#This Row],[Org ID]])/ValbyACO_ICC6[[#This Row],[2022 Member Months]])</f>
        <v>NA</v>
      </c>
      <c r="AA86" s="118" t="str">
        <f>IF(ValbyACO_ICC6[[#This Row],[2022 Member Months]]=0,"NA",SUMIFS(ACOAETME2022[[#All],[TOTAL Non-Truncated Unadjusted Claims Expenses]],ACOAETME2022[[#All],[Insurance Category Code]], $E$76,ACOAETME2022[[#All],[ACO/AE or Insurer Overall Organization ID]],ValbyACO_ICC6[[#This Row],[Org ID]])/ValbyACO_ICC6[[#This Row],[2022 Member Months]])</f>
        <v>NA</v>
      </c>
      <c r="AB86" s="118" t="str">
        <f>IF(ValbyACO_ICC6[[#This Row],[2022 Member Months]]=0,"NA",SUMIFS(ACOAETME2022[[#All],[TOTAL Truncated Unadjusted Expenses (A20+A21)]],ACOAETME2022[[#All],[Insurance Category Code]], $E$76,ACOAETME2022[[#All],[ACO/AE or Insurer Overall Organization ID]],ValbyACO_ICC6[[#This Row],[Org ID]])/ValbyACO_ICC6[[#This Row],[2022 Member Months]])</f>
        <v>NA</v>
      </c>
      <c r="AC86" s="118" t="str">
        <f>IF(ValbyACO_ICC6[[#This Row],[2022 Member Months]]=0,"NA",SUMIFS(ACOAETME2022[[#All],[TOTAL Non-Claims Expenses]],ACOAETME2022[[#All],[Insurance Category Code]], $E$76,ACOAETME2022[[#All],[ACO/AE or Insurer Overall Organization ID]],ValbyACO_ICC6[[#This Row],[Org ID]])/ValbyACO_ICC6[[#This Row],[2022 Member Months]])</f>
        <v>NA</v>
      </c>
      <c r="AD86" s="268" t="str">
        <f>IF(ValbyACO_ICC6[[#This Row],[2022 Member Months]]=0,"NA",SUMIFS(ACOAETME2022[[#All],[TOTAL Non-Truncated Unadjusted Expenses 
(A19+A21)]],ACOAETME2022[[#All],[Insurance Category Code]], $E$76,ACOAETME2022[[#All],[ACO/AE or Insurer Overall Organization ID]],ValbyACO_ICC6[[#This Row],[Org ID]])/ValbyACO_ICC6[[#This Row],[2022 Member Months]])</f>
        <v>NA</v>
      </c>
      <c r="AE86" s="119" t="str">
        <f>IF(ValbyACO_ICC6[[#This Row],[2022 Member Months]]=0,"NA",SUMIFS(ACOAETME2022[[#All],[TOTAL Truncated Unadjusted Expenses (A20+A21)]],ACOAETME2022[[#All],[Insurance Category Code]],$E$76,ACOAETME2022[[#All],[ACO/AE or Insurer Overall Organization ID]],ValbyACO_ICC6[[#This Row],[Org ID]])/ValbyACO_ICC6[[#This Row],[2022 Member Months]])</f>
        <v>NA</v>
      </c>
      <c r="AF86" s="160" t="str">
        <f>IFERROR(IF(ValbyACO_ICC6[[#This Row],[2021 Member Months]]=0,"NA",ValbyACO_ICC6[[#This Row],[2022 Member Months]]/ValbyACO_ICC6[[#This Row],[2021 Member Months]]-1),"NA")</f>
        <v>NA</v>
      </c>
      <c r="AG86" s="161" t="str">
        <f>IFERROR(IF(ValbyACO_ICC6[[#This Row],[2021 Member Months]]=0,"NA",ValbyACO_ICC6[[#This Row],[2022 Claims: Hospital Inpatient]]/ValbyACO_ICC6[[#This Row],[2021 Claims: Hospital Inpatient]]-1),"NA")</f>
        <v>NA</v>
      </c>
      <c r="AH86" s="162" t="str">
        <f>IFERROR(IF(ValbyACO_ICC6[[#This Row],[2021 Member Months]]=0,"NA",ValbyACO_ICC6[[#This Row],[2022 Claims: Hospital Outpatient]]/ValbyACO_ICC6[[#This Row],[2021 Claims: Hospital Outpatient]]-1),"NA")</f>
        <v>NA</v>
      </c>
      <c r="AI86" s="162" t="str">
        <f>IFERROR(IF(ValbyACO_ICC6[[#This Row],[2021 Member Months]]=0,"NA",ValbyACO_ICC6[[#This Row],[2022 Claims: Professional, Primary Care]]/ValbyACO_ICC6[[#This Row],[2021 Claims: Professional, Primary Care]]-1),"NA")</f>
        <v>NA</v>
      </c>
      <c r="AJ86" s="162" t="str">
        <f>IFERROR(IF(ValbyACO_ICC6[[#This Row],[2021 Member Months]]=0,"NA",ValbyACO_ICC6[[#This Row],[2022 Claims: Professional, Specialty Care]]/ValbyACO_ICC6[[#This Row],[2021 Claims: Professional, Specialty Care]]-1),"NA")</f>
        <v>NA</v>
      </c>
      <c r="AK86" s="162" t="str">
        <f>IFERROR(IF(ValbyACO_ICC6[[#This Row],[2021 Member Months]]=0,"NA", ValbyACO_ICC6[[#This Row],[2022 Claims: Professional Other]]/ValbyACO_ICC6[[#This Row],[2021 Claims: Professional Other]]-1),"NA")</f>
        <v>NA</v>
      </c>
      <c r="AL86" s="162" t="str">
        <f>IFERROR(IF(ValbyACO_ICC6[[#This Row],[2021 Member Months]]=0,"NA",ValbyACO_ICC6[[#This Row],[2022 Claims: Pharmacy (Gross of Retail Pharmacy Rebates)]]/ValbyACO_ICC6[[#This Row],[2021 Claims: Pharmacy (Gross of  Rebates)]]-1),"NA")</f>
        <v>NA</v>
      </c>
      <c r="AM86" s="162" t="str">
        <f>IFERROR(IF(ValbyACO_ICC6[[#This Row],[2021 Member Months]]=0,"NA",ValbyACO_ICC6[[#This Row],[2022 Claims: Long-term Care]]/ValbyACO_ICC6[[#This Row],[2021 Claims: Long-term Care]]-1),"NA")</f>
        <v>NA</v>
      </c>
      <c r="AN86" s="162" t="str">
        <f>IFERROR(IF(ValbyACO_ICC6[[#This Row],[2021 Member Months]]=0,"NA",ValbyACO_ICC6[[#This Row],[2022 Claims: Other]]/ValbyACO_ICC6[[#This Row],[2021 Claims: Other]]-1),"NA")</f>
        <v>NA</v>
      </c>
      <c r="AO86" s="163" t="str">
        <f>IFERROR(IF(ValbyACO_ICC6[[#This Row],[2021 Member Months]]=0,"NA",ValbyACO_ICC6[[#This Row],[2022 TOTAL Non-Truncated Claims Expenses]]/ValbyACO_ICC6[[#This Row],[2021 TOTAL Non-Truncated Claims Expenses]]-1),"NA")</f>
        <v>NA</v>
      </c>
      <c r="AP86" s="163" t="str">
        <f>IFERROR(IF(ValbyACO_ICC6[[#This Row],[2021 Member Months]]=0,"NA",ValbyACO_ICC6[[#This Row],[2022 TOTAL Truncated Claims Expenses]]/ValbyACO_ICC6[[#This Row],[2021 TOTAL Truncated Claims Expenses]]-1),"NA")</f>
        <v>NA</v>
      </c>
      <c r="AQ86" s="163" t="str">
        <f>IFERROR(IF(ValbyACO_ICC6[[#This Row],[2021 Member Months]]=0,"NA",ValbyACO_ICC6[[#This Row],[2022 TOTAL Non-Claims Expenses]]/ValbyACO_ICC6[[#This Row],[2021 TOTAL Non-Claims Expenses]]-1),"NA")</f>
        <v>NA</v>
      </c>
      <c r="AR86" s="163" t="str">
        <f>IFERROR(IF(ValbyACO_ICC6[[#This Row],[2021 Member Months]]=0,"NA",ValbyACO_ICC6[[#This Row],[2022 TOTAL Non-Truncated Total Expenses]]/ValbyACO_ICC6[[#This Row],[2021 TOTAL Non-Truncated Total Expenses]]-1),"NA")</f>
        <v>NA</v>
      </c>
      <c r="AS86" s="164" t="str">
        <f>IFERROR(IF(ValbyACO_ICC6[[#This Row],[2021 Member Months]]=0,"NA",ValbyACO_ICC6[[#This Row],[2022 TOTAL Truncated Total Expenses]]/ValbyACO_ICC6[[#This Row],[2021 TOTAL Truncated Total Expenses]]-1),"NA")</f>
        <v>NA</v>
      </c>
    </row>
    <row r="87" spans="1:45" x14ac:dyDescent="0.35">
      <c r="B87" s="251"/>
      <c r="C87" s="292" t="s">
        <v>118</v>
      </c>
      <c r="D87" s="273">
        <f>SUM(D78:D86)</f>
        <v>0</v>
      </c>
      <c r="E87" s="269" t="str">
        <f>IF(ValbyACO_ICC6[[#This Row],[2021 Member Months]]=0,"NA",SUMPRODUCT(E78:E86,D78:D86)/ValbyACO_ICC6[[#This Row],[2021 Member Months]])</f>
        <v>NA</v>
      </c>
      <c r="F87" s="315" t="str">
        <f>IF(ValbyACO_ICC6[[#This Row],[2021 Member Months]]=0,"NA",SUMPRODUCT(F78:F86,D78:D86)/ValbyACO_ICC6[[#This Row],[2021 Member Months]])</f>
        <v>NA</v>
      </c>
      <c r="G87" s="315" t="str">
        <f>IF(ValbyACO_ICC6[[#This Row],[2021 Member Months]]=0,"NA",SUMPRODUCT(G78:G86,D78:D86)/ValbyACO_ICC6[[#This Row],[2021 Member Months]])</f>
        <v>NA</v>
      </c>
      <c r="H87" s="315" t="str">
        <f>IF(ValbyACO_ICC6[[#This Row],[2021 Member Months]]=0,"NA",SUMPRODUCT(H78:H86,D78:D86)/ValbyACO_ICC6[[#This Row],[2021 Member Months]])</f>
        <v>NA</v>
      </c>
      <c r="I87" s="315" t="str">
        <f>IF(ValbyACO_ICC6[[#This Row],[2021 Member Months]]=0,"NA",SUMPRODUCT(I78:I86,D78:D86)/ValbyACO_ICC6[[#This Row],[2021 Member Months]])</f>
        <v>NA</v>
      </c>
      <c r="J87" s="315" t="str">
        <f>IF(ValbyACO_ICC6[[#This Row],[2021 Member Months]]=0,"NA",SUMPRODUCT(J78:J86,D78:D86)/ValbyACO_ICC6[[#This Row],[2021 Member Months]])</f>
        <v>NA</v>
      </c>
      <c r="K87" s="315" t="str">
        <f>IF(ValbyACO_ICC6[[#This Row],[2021 Member Months]]=0,"NA",SUMPRODUCT(K78:K86,D78:D86)/ValbyACO_ICC6[[#This Row],[2021 Member Months]])</f>
        <v>NA</v>
      </c>
      <c r="L87" s="315" t="str">
        <f>IF(ValbyACO_ICC6[[#This Row],[2021 Member Months]]=0,"NA",SUMPRODUCT(L78:L86,D78:D86)/ValbyACO_ICC6[[#This Row],[2021 Member Months]])</f>
        <v>NA</v>
      </c>
      <c r="M87" s="124" t="str">
        <f>IF(ValbyACO_ICC6[[#This Row],[2021 Member Months]]=0,"NA",SUMPRODUCT(M78:M86,D78:D86)/ValbyACO_ICC6[[#This Row],[2021 Member Months]])</f>
        <v>NA</v>
      </c>
      <c r="N87" s="124" t="str">
        <f>IF(ValbyACO_ICC6[[#This Row],[2021 Member Months]]=0,"NA",SUMPRODUCT(N78:N86,D78:D86)/ValbyACO_ICC6[[#This Row],[2021 Member Months]])</f>
        <v>NA</v>
      </c>
      <c r="O87" s="124" t="str">
        <f>IF(ValbyACO_ICC6[[#This Row],[2021 Member Months]]=0,"NA",SUMPRODUCT(O78:O86,D78:D86)/ValbyACO_ICC6[[#This Row],[2021 Member Months]])</f>
        <v>NA</v>
      </c>
      <c r="P87" s="124" t="str">
        <f>IF(ValbyACO_ICC6[[#This Row],[2021 Member Months]]=0,"NA",SUMPRODUCT(P78:P86,D78:D86)/ValbyACO_ICC6[[#This Row],[2021 Member Months]])</f>
        <v>NA</v>
      </c>
      <c r="Q87" s="125" t="str">
        <f>IF(ValbyACO_ICC6[[#This Row],[2021 Member Months]]=0,"NA",SUMPRODUCT(Q78:Q86,D78:D86)/ValbyACO_ICC6[[#This Row],[2021 Member Months]])</f>
        <v>NA</v>
      </c>
      <c r="R87" s="273">
        <f>SUM(R78:R86)</f>
        <v>0</v>
      </c>
      <c r="S87" s="123" t="str">
        <f>IF(ValbyACO_ICC6[[#This Row],[2022 Member Months]]=0,"NA",SUMPRODUCT(S78:S86,R78:R86)/ValbyACO_ICC6[[#This Row],[2022 Member Months]])</f>
        <v>NA</v>
      </c>
      <c r="T87" s="89" t="str">
        <f>IF(ValbyACO_ICC6[[#This Row],[2022 Member Months]]=0,"NA",SUMPRODUCT(T78:T86,R78:R86)/ValbyACO_ICC6[[#This Row],[2022 Member Months]])</f>
        <v>NA</v>
      </c>
      <c r="U87" s="89" t="str">
        <f>IF(ValbyACO_ICC6[[#This Row],[2022 Member Months]]=0,"NA",SUMPRODUCT(U78:U86,R78:R86)/ValbyACO_ICC6[[#This Row],[2022 Member Months]])</f>
        <v>NA</v>
      </c>
      <c r="V87" s="89" t="str">
        <f>IF(ValbyACO_ICC6[[#This Row],[2022 Member Months]]=0,"NA",SUMPRODUCT(V78:V86,R78:R86)/ValbyACO_ICC6[[#This Row],[2022 Member Months]])</f>
        <v>NA</v>
      </c>
      <c r="W87" s="89" t="str">
        <f>IF(ValbyACO_ICC6[[#This Row],[2022 Member Months]]=0,"NA",SUMPRODUCT(W78:W86,R78:R86)/ValbyACO_ICC6[[#This Row],[2022 Member Months]])</f>
        <v>NA</v>
      </c>
      <c r="X87" s="89" t="str">
        <f>IF(ValbyACO_ICC6[[#This Row],[2022 Member Months]]=0,"NA",SUMPRODUCT(X78:X86,R78:R86)/ValbyACO_ICC6[[#This Row],[2022 Member Months]])</f>
        <v>NA</v>
      </c>
      <c r="Y87" s="89" t="str">
        <f>IF(ValbyACO_ICC6[[#This Row],[2022 Member Months]]=0,"NA",SUMPRODUCT(Y78:Y86,R78:R86)/ValbyACO_ICC6[[#This Row],[2022 Member Months]])</f>
        <v>NA</v>
      </c>
      <c r="Z87" s="89" t="str">
        <f>IF(ValbyACO_ICC6[[#This Row],[2022 Member Months]]=0,"NA",SUMPRODUCT(Z78:Z86,R78:R86)/ValbyACO_ICC6[[#This Row],[2022 Member Months]])</f>
        <v>NA</v>
      </c>
      <c r="AA87" s="124" t="str">
        <f>IF(ValbyACO_ICC6[[#This Row],[2022 Member Months]]=0,"NA",SUMPRODUCT(AA78:AA86,R78:R86)/ValbyACO_ICC6[[#This Row],[2022 Member Months]])</f>
        <v>NA</v>
      </c>
      <c r="AB87" s="124" t="str">
        <f>IF(ValbyACO_ICC6[[#This Row],[2022 Member Months]]=0,"NA",SUMPRODUCT(AB78:AB86,R78:R86)/ValbyACO_ICC6[[#This Row],[2022 Member Months]])</f>
        <v>NA</v>
      </c>
      <c r="AC87" s="124" t="str">
        <f>IF(ValbyACO_ICC6[[#This Row],[2022 Member Months]]=0,"NA",SUMPRODUCT(AC78:AC86,R78:R86)/ValbyACO_ICC6[[#This Row],[2022 Member Months]])</f>
        <v>NA</v>
      </c>
      <c r="AD87" s="124" t="str">
        <f>IF(ValbyACO_ICC6[[#This Row],[2022 Member Months]]=0,"NA",SUMPRODUCT(AD78:AD86,R78:R86)/ValbyACO_ICC6[[#This Row],[2022 Member Months]])</f>
        <v>NA</v>
      </c>
      <c r="AE87" s="125" t="str">
        <f>IF(ValbyACO_ICC6[[#This Row],[2022 Member Months]]=0,"NA",SUMPRODUCT(AE78:AE86,R78:R86)/ValbyACO_ICC6[[#This Row],[2022 Member Months]])</f>
        <v>NA</v>
      </c>
      <c r="AF87" s="160" t="str">
        <f>IFERROR(IF(ValbyACO_ICC6[[#This Row],[2021 Member Months]]=0,"NA",ValbyACO_ICC6[[#This Row],[2022 Member Months]]/ValbyACO_ICC6[[#This Row],[2021 Member Months]]-1),"NA")</f>
        <v>NA</v>
      </c>
      <c r="AG87" s="161" t="str">
        <f>IFERROR(IF(ValbyACO_ICC6[[#This Row],[2021 Member Months]]=0,"NA",ValbyACO_ICC6[[#This Row],[2022 Claims: Hospital Inpatient]]/ValbyACO_ICC6[[#This Row],[2021 Claims: Hospital Inpatient]]-1),"NA")</f>
        <v>NA</v>
      </c>
      <c r="AH87" s="162" t="str">
        <f>IFERROR(IF(ValbyACO_ICC6[[#This Row],[2021 Member Months]]=0,"NA",ValbyACO_ICC6[[#This Row],[2022 Claims: Hospital Outpatient]]/ValbyACO_ICC6[[#This Row],[2021 Claims: Hospital Outpatient]]-1),"NA")</f>
        <v>NA</v>
      </c>
      <c r="AI87" s="162" t="str">
        <f>IFERROR(IF(ValbyACO_ICC6[[#This Row],[2021 Member Months]]=0,"NA",ValbyACO_ICC6[[#This Row],[2022 Claims: Professional, Primary Care]]/ValbyACO_ICC6[[#This Row],[2021 Claims: Professional, Primary Care]]-1),"NA")</f>
        <v>NA</v>
      </c>
      <c r="AJ87" s="162" t="str">
        <f>IFERROR(IF(ValbyACO_ICC6[[#This Row],[2021 Member Months]]=0,"NA",ValbyACO_ICC6[[#This Row],[2022 Claims: Professional, Specialty Care]]/ValbyACO_ICC6[[#This Row],[2021 Claims: Professional, Specialty Care]]-1),"NA")</f>
        <v>NA</v>
      </c>
      <c r="AK87" s="162" t="str">
        <f>IFERROR(IF(ValbyACO_ICC6[[#This Row],[2021 Member Months]]=0,"NA", ValbyACO_ICC6[[#This Row],[2022 Claims: Professional Other]]/ValbyACO_ICC6[[#This Row],[2021 Claims: Professional Other]]-1),"NA")</f>
        <v>NA</v>
      </c>
      <c r="AL87" s="162" t="str">
        <f>IFERROR(IF(ValbyACO_ICC6[[#This Row],[2021 Member Months]]=0,"NA",ValbyACO_ICC6[[#This Row],[2022 Claims: Pharmacy (Gross of Retail Pharmacy Rebates)]]/ValbyACO_ICC6[[#This Row],[2021 Claims: Pharmacy (Gross of  Rebates)]]-1),"NA")</f>
        <v>NA</v>
      </c>
      <c r="AM87" s="162" t="str">
        <f>IFERROR(IF(ValbyACO_ICC6[[#This Row],[2021 Member Months]]=0,"NA",ValbyACO_ICC6[[#This Row],[2022 Claims: Long-term Care]]/ValbyACO_ICC6[[#This Row],[2021 Claims: Long-term Care]]-1),"NA")</f>
        <v>NA</v>
      </c>
      <c r="AN87" s="162" t="str">
        <f>IFERROR(IF(ValbyACO_ICC6[[#This Row],[2021 Member Months]]=0,"NA",ValbyACO_ICC6[[#This Row],[2022 Claims: Other]]/ValbyACO_ICC6[[#This Row],[2021 Claims: Other]]-1),"NA")</f>
        <v>NA</v>
      </c>
      <c r="AO87" s="163" t="str">
        <f>IFERROR(IF(ValbyACO_ICC6[[#This Row],[2021 Member Months]]=0,"NA",ValbyACO_ICC6[[#This Row],[2022 TOTAL Non-Truncated Claims Expenses]]/ValbyACO_ICC6[[#This Row],[2021 TOTAL Non-Truncated Claims Expenses]]-1),"NA")</f>
        <v>NA</v>
      </c>
      <c r="AP87" s="163" t="str">
        <f>IFERROR(IF(ValbyACO_ICC6[[#This Row],[2021 Member Months]]=0,"NA",ValbyACO_ICC6[[#This Row],[2022 TOTAL Truncated Claims Expenses]]/ValbyACO_ICC6[[#This Row],[2021 TOTAL Truncated Claims Expenses]]-1),"NA")</f>
        <v>NA</v>
      </c>
      <c r="AQ87" s="163" t="str">
        <f>IFERROR(IF(ValbyACO_ICC6[[#This Row],[2021 Member Months]]=0,"NA",ValbyACO_ICC6[[#This Row],[2022 TOTAL Non-Claims Expenses]]/ValbyACO_ICC6[[#This Row],[2021 TOTAL Non-Claims Expenses]]-1),"NA")</f>
        <v>NA</v>
      </c>
      <c r="AR87" s="163" t="str">
        <f>IFERROR(IF(ValbyACO_ICC6[[#This Row],[2021 Member Months]]=0,"NA",ValbyACO_ICC6[[#This Row],[2022 TOTAL Non-Truncated Total Expenses]]/ValbyACO_ICC6[[#This Row],[2021 TOTAL Non-Truncated Total Expenses]]-1),"NA")</f>
        <v>NA</v>
      </c>
      <c r="AS87" s="164" t="str">
        <f>IFERROR(IF(ValbyACO_ICC6[[#This Row],[2021 Member Months]]=0,"NA",ValbyACO_ICC6[[#This Row],[2022 TOTAL Truncated Total Expenses]]/ValbyACO_ICC6[[#This Row],[2021 TOTAL Truncated Total Expenses]]-1),"NA")</f>
        <v>NA</v>
      </c>
    </row>
    <row r="88" spans="1:45" ht="15" thickBot="1" x14ac:dyDescent="0.4">
      <c r="B88" s="255"/>
      <c r="C88" s="293" t="s">
        <v>119</v>
      </c>
      <c r="D88" s="274">
        <f t="shared" ref="D88" si="8">D87</f>
        <v>0</v>
      </c>
      <c r="E88" s="344"/>
      <c r="F88" s="345"/>
      <c r="G88" s="345"/>
      <c r="H88" s="345"/>
      <c r="I88" s="345"/>
      <c r="J88" s="340" t="str">
        <f>IF(ValbyACO_ICC6[[#This Row],[2021 Member Months]]=0,"NA",(SUMPRODUCT(J78:J86,D78:D86)-ABS(SUMIF(RxRebates21[[#All],[Insurance Category Code]],$E$76,RxRebates21[[#All],[Retail Pharmacy Rebates]])))/ValbyACO_ICC6[[#This Row],[2021 Member Months]])</f>
        <v>NA</v>
      </c>
      <c r="K88" s="345"/>
      <c r="L88" s="345"/>
      <c r="M88" s="127" t="str">
        <f>IF(ValbyACO_ICC6[[#This Row],[2021 Member Months]]=0,"NA",(SUMPRODUCT(M78:M86,D78:D86)-ABS(SUMIF(RxRebates21[[#All],[Insurance Category Code]],$E$76,RxRebates21[[#All],[Total Pharmacy Rebates]])))/ValbyACO_ICC6[[#This Row],[2021 Member Months]])</f>
        <v>NA</v>
      </c>
      <c r="N88" s="127" t="str">
        <f>IF(ValbyACO_ICC6[[#This Row],[2021 Member Months]]=0,"NA",(SUMPRODUCT(N78:N86,D78:D86)-ABS(SUMIF(RxRebates21[[#All],[Insurance Category Code]],$E$76,RxRebates21[[#All],[Total Pharmacy Rebates]])))/ValbyACO_ICC6[[#This Row],[2021 Member Months]])</f>
        <v>NA</v>
      </c>
      <c r="O88" s="127" t="str">
        <f>IF(ValbyACO_ICC6[[#This Row],[2021 Member Months]]=0,"NA",(SUMPRODUCT(O78:O86,D78:D86)-ABS(SUMIF(RxRebates21[[#All],[Insurance Category Code]],$E$76,RxRebates21[[#All],[Total Pharmacy Rebates]])))/ValbyACO_ICC6[[#This Row],[2021 Member Months]])</f>
        <v>NA</v>
      </c>
      <c r="P88" s="127" t="str">
        <f>IF(ValbyACO_ICC6[[#This Row],[2021 Member Months]]=0,"NA",(SUMPRODUCT(P78:P86,D78:D86)-ABS(SUMIF(RxRebates21[[#All],[Insurance Category Code]],$E$76,RxRebates21[[#All],[Total Pharmacy Rebates]])))/ValbyACO_ICC6[[#This Row],[2021 Member Months]])</f>
        <v>NA</v>
      </c>
      <c r="Q88" s="128" t="str">
        <f>IF(ValbyACO_ICC6[[#This Row],[2021 Member Months]]=0,"NA",(SUMPRODUCT(Q78:Q86,D78:D86)-ABS(SUMIF(RxRebates21[[#All],[Insurance Category Code]],$E$76,RxRebates21[[#All],[Total Pharmacy Rebates]])))/ValbyACO_ICC6[[#This Row],[2021 Member Months]])</f>
        <v>NA</v>
      </c>
      <c r="R88" s="274">
        <f t="shared" ref="R88" si="9">R87</f>
        <v>0</v>
      </c>
      <c r="S88" s="346"/>
      <c r="T88" s="347"/>
      <c r="U88" s="347"/>
      <c r="V88" s="347"/>
      <c r="W88" s="347"/>
      <c r="X88" s="126" t="str">
        <f>IF(ValbyACO_ICC6[[#This Row],[2022 Member Months]]=0,"NA",(SUMPRODUCT(X78:X86,R78:R86)-ABS(SUMIF(RxRebates22[[#All],[Insurance Category Code]],$E$76,RxRebates22[[#All],[Retail Pharmacy Rebates]])))/ValbyACO_ICC6[[#This Row],[2022 Member Months]])</f>
        <v>NA</v>
      </c>
      <c r="Y88" s="347"/>
      <c r="Z88" s="347"/>
      <c r="AA88" s="127" t="str">
        <f>IF(ValbyACO_ICC6[[#This Row],[2022 Member Months]]=0,"NA",(SUMPRODUCT(AA78:AA86,R78:R86)-ABS(SUMIF(RxRebates22[[#All],[Insurance Category Code]],$E$76,RxRebates22[[#All],[Total Pharmacy Rebates]])))/ValbyACO_ICC6[[#This Row],[2022 Member Months]])</f>
        <v>NA</v>
      </c>
      <c r="AB88" s="127" t="str">
        <f>IF(ValbyACO_ICC6[[#This Row],[2022 Member Months]]=0,"NA",(SUMPRODUCT(AB78:AB86,R78:R86)-ABS(SUMIF(RxRebates22[[#All],[Insurance Category Code]],$E$76,RxRebates22[[#All],[Total Pharmacy Rebates]])))/ValbyACO_ICC6[[#This Row],[2022 Member Months]])</f>
        <v>NA</v>
      </c>
      <c r="AC88" s="127" t="str">
        <f>IF(ValbyACO_ICC6[[#This Row],[2022 Member Months]]=0,"NA",(SUMPRODUCT(AC78:AC86,R78:R86)-ABS(SUMIF(RxRebates22[[#All],[Insurance Category Code]],$E$76,RxRebates22[[#All],[Total Pharmacy Rebates]])))/ValbyACO_ICC6[[#This Row],[2022 Member Months]])</f>
        <v>NA</v>
      </c>
      <c r="AD88" s="127" t="str">
        <f>IF(ValbyACO_ICC6[[#This Row],[2022 Member Months]]=0,"NA",(SUMPRODUCT(AD78:AD86,R78:R86)-ABS(SUMIF(RxRebates22[[#All],[Insurance Category Code]],$E$76,RxRebates22[[#All],[Total Pharmacy Rebates]])))/ValbyACO_ICC6[[#This Row],[2022 Member Months]])</f>
        <v>NA</v>
      </c>
      <c r="AE88" s="128" t="str">
        <f>IF(ValbyACO_ICC6[[#This Row],[2022 Member Months]]=0,"NA",(SUMPRODUCT(AE78:AE86,R78:R86)-ABS(SUMIF(RxRebates22[[#All],[Insurance Category Code]],$E$76,RxRebates22[[#All],[Total Pharmacy Rebates]])))/ValbyACO_ICC6[[#This Row],[2022 Member Months]])</f>
        <v>NA</v>
      </c>
      <c r="AF88" s="160" t="str">
        <f>IFERROR(IF(ValbyACO_ICC6[[#This Row],[2021 Member Months]]=0,"NA",ValbyACO_ICC6[[#This Row],[2022 Member Months]]/ValbyACO_ICC6[[#This Row],[2021 Member Months]]-1),"NA")</f>
        <v>NA</v>
      </c>
      <c r="AG88" s="348"/>
      <c r="AH88" s="349"/>
      <c r="AI88" s="349"/>
      <c r="AJ88" s="349"/>
      <c r="AK88" s="349"/>
      <c r="AL88" s="162" t="str">
        <f>IFERROR(IF(ValbyACO_ICC6[[#This Row],[2021 Member Months]]=0,"NA",ValbyACO_ICC6[[#This Row],[2022 Claims: Pharmacy (Gross of Retail Pharmacy Rebates)]]/ValbyACO_ICC6[[#This Row],[2021 Claims: Pharmacy (Gross of  Rebates)]]-1),"NA")</f>
        <v>NA</v>
      </c>
      <c r="AM88" s="349"/>
      <c r="AN88" s="349"/>
      <c r="AO88" s="163" t="str">
        <f>IFERROR(IF(ValbyACO_ICC6[[#This Row],[2021 Member Months]]=0,"NA",ValbyACO_ICC6[[#This Row],[2022 TOTAL Non-Truncated Claims Expenses]]/ValbyACO_ICC6[[#This Row],[2021 TOTAL Non-Truncated Claims Expenses]]-1),"NA")</f>
        <v>NA</v>
      </c>
      <c r="AP88" s="163" t="str">
        <f>IFERROR(IF(ValbyACO_ICC6[[#This Row],[2021 Member Months]]=0,"NA",ValbyACO_ICC6[[#This Row],[2022 TOTAL Truncated Claims Expenses]]/ValbyACO_ICC6[[#This Row],[2021 TOTAL Truncated Claims Expenses]]-1),"NA")</f>
        <v>NA</v>
      </c>
      <c r="AQ88" s="163" t="str">
        <f>IFERROR(IF(ValbyACO_ICC6[[#This Row],[2021 Member Months]]=0,"NA",ValbyACO_ICC6[[#This Row],[2022 TOTAL Non-Claims Expenses]]/ValbyACO_ICC6[[#This Row],[2021 TOTAL Non-Claims Expenses]]-1),"NA")</f>
        <v>NA</v>
      </c>
      <c r="AR88" s="163" t="str">
        <f>IFERROR(IF(ValbyACO_ICC6[[#This Row],[2021 Member Months]]=0,"NA",ValbyACO_ICC6[[#This Row],[2022 TOTAL Non-Truncated Total Expenses]]/ValbyACO_ICC6[[#This Row],[2021 TOTAL Non-Truncated Total Expenses]]-1),"NA")</f>
        <v>NA</v>
      </c>
      <c r="AS88" s="164" t="str">
        <f>IFERROR(IF(ValbyACO_ICC6[[#This Row],[2021 Member Months]]=0,"NA",ValbyACO_ICC6[[#This Row],[2022 TOTAL Truncated Total Expenses]]/ValbyACO_ICC6[[#This Row],[2021 TOTAL Truncated Total Expenses]]-1),"NA")</f>
        <v>NA</v>
      </c>
    </row>
    <row r="90" spans="1:45" ht="15.5" x14ac:dyDescent="0.35">
      <c r="B90" s="42" t="s">
        <v>152</v>
      </c>
      <c r="C90" s="42"/>
    </row>
    <row r="91" spans="1:45" ht="43.5" x14ac:dyDescent="0.35">
      <c r="B91" s="297" t="s">
        <v>159</v>
      </c>
      <c r="C91" s="298" t="s">
        <v>542</v>
      </c>
      <c r="D91" s="406" t="s">
        <v>666</v>
      </c>
      <c r="E91" s="407" t="s">
        <v>545</v>
      </c>
      <c r="F91" s="407" t="s">
        <v>546</v>
      </c>
      <c r="G91" s="407" t="s">
        <v>547</v>
      </c>
      <c r="H91" s="407" t="s">
        <v>548</v>
      </c>
      <c r="I91" s="407" t="s">
        <v>549</v>
      </c>
      <c r="J91" s="407" t="s">
        <v>665</v>
      </c>
      <c r="K91" s="407" t="s">
        <v>550</v>
      </c>
      <c r="L91" s="407" t="s">
        <v>551</v>
      </c>
      <c r="M91" s="407" t="s">
        <v>552</v>
      </c>
      <c r="N91" s="407" t="s">
        <v>553</v>
      </c>
      <c r="O91" s="407" t="s">
        <v>554</v>
      </c>
      <c r="P91" s="407" t="s">
        <v>555</v>
      </c>
      <c r="Q91" s="405" t="s">
        <v>556</v>
      </c>
      <c r="R91" s="406" t="s">
        <v>664</v>
      </c>
      <c r="S91" s="297" t="s">
        <v>649</v>
      </c>
      <c r="T91" s="407" t="s">
        <v>650</v>
      </c>
      <c r="U91" s="407" t="s">
        <v>651</v>
      </c>
      <c r="V91" s="407" t="s">
        <v>652</v>
      </c>
      <c r="W91" s="407" t="s">
        <v>653</v>
      </c>
      <c r="X91" s="407" t="s">
        <v>654</v>
      </c>
      <c r="Y91" s="407" t="s">
        <v>655</v>
      </c>
      <c r="Z91" s="407" t="s">
        <v>656</v>
      </c>
      <c r="AA91" s="407" t="s">
        <v>657</v>
      </c>
      <c r="AB91" s="407" t="s">
        <v>658</v>
      </c>
      <c r="AC91" s="407" t="s">
        <v>659</v>
      </c>
      <c r="AD91" s="407" t="s">
        <v>660</v>
      </c>
      <c r="AE91" s="299" t="s">
        <v>661</v>
      </c>
      <c r="AF91" s="397" t="s">
        <v>557</v>
      </c>
      <c r="AG91" s="397" t="s">
        <v>558</v>
      </c>
      <c r="AH91" s="397" t="s">
        <v>559</v>
      </c>
      <c r="AI91" s="397" t="s">
        <v>560</v>
      </c>
      <c r="AJ91" s="397" t="s">
        <v>561</v>
      </c>
      <c r="AK91" s="397" t="s">
        <v>562</v>
      </c>
      <c r="AL91" s="397" t="s">
        <v>563</v>
      </c>
      <c r="AM91" s="397" t="s">
        <v>564</v>
      </c>
      <c r="AN91" s="397" t="s">
        <v>565</v>
      </c>
      <c r="AO91" s="397" t="s">
        <v>566</v>
      </c>
      <c r="AP91" s="397" t="s">
        <v>567</v>
      </c>
      <c r="AQ91" s="397" t="s">
        <v>568</v>
      </c>
      <c r="AR91" s="397" t="s">
        <v>569</v>
      </c>
      <c r="AS91" s="398" t="s">
        <v>570</v>
      </c>
    </row>
    <row r="92" spans="1:45" x14ac:dyDescent="0.35">
      <c r="B92" s="250">
        <v>101</v>
      </c>
      <c r="C92" s="131" t="s">
        <v>167</v>
      </c>
      <c r="D92" s="192">
        <f>D106+D120</f>
        <v>0</v>
      </c>
      <c r="E92" s="268" t="str">
        <f>IF(ValbyACO_MCare[[#This Row],[2021 Member Months (sum of ICC1 + 5)]]=0,"NA",(SUMPRODUCT(E106,D106)+SUMPRODUCT(E120,D120))/ValbyACO_MCare[[#This Row],[2021 Member Months (sum of ICC1 + 5)]])</f>
        <v>NA</v>
      </c>
      <c r="F92" s="268" t="str">
        <f>IF(ValbyACO_MCare[[#This Row],[2021 Member Months (sum of ICC1 + 5)]]=0,"NA",(SUMPRODUCT(F106,D106)+SUMPRODUCT(F120,D120))/ValbyACO_MCare[[#This Row],[2021 Member Months (sum of ICC1 + 5)]])</f>
        <v>NA</v>
      </c>
      <c r="G92" s="268" t="str">
        <f>IF(ValbyACO_MCare[[#This Row],[2021 Member Months (sum of ICC1 + 5)]]=0,"NA",(SUMPRODUCT(G106,D106)+SUMPRODUCT(G120,D120))/ValbyACO_MCare[[#This Row],[2021 Member Months (sum of ICC1 + 5)]])</f>
        <v>NA</v>
      </c>
      <c r="H92" s="268" t="str">
        <f>IF(ValbyACO_MCare[[#This Row],[2021 Member Months (sum of ICC1 + 5)]]=0,"NA",(SUMPRODUCT(H106,D106)+SUMPRODUCT(H120,D120))/ValbyACO_MCare[[#This Row],[2021 Member Months (sum of ICC1 + 5)]])</f>
        <v>NA</v>
      </c>
      <c r="I92" s="268" t="str">
        <f>IF(ValbyACO_MCare[[#This Row],[2021 Member Months (sum of ICC1 + 5)]]=0,"NA",(SUMPRODUCT(I106,D106)+SUMPRODUCT(I120,D120))/ValbyACO_MCare[[#This Row],[2021 Member Months (sum of ICC1 + 5)]])</f>
        <v>NA</v>
      </c>
      <c r="J92" s="268" t="str">
        <f>IF(ValbyACO_MCare[[#This Row],[2021 Member Months (sum of ICC1 + 5)]]=0,"NA",(SUMPRODUCT(J106,D106)+SUMPRODUCT(J120,D120))/ValbyACO_MCare[[#This Row],[2021 Member Months (sum of ICC1 + 5)]])</f>
        <v>NA</v>
      </c>
      <c r="K92" s="268" t="str">
        <f>IF(ValbyACO_MCare[[#This Row],[2021 Member Months (sum of ICC1 + 5)]]=0,"NA",(SUMPRODUCT(K106,D106)+SUMPRODUCT(K120,D120))/ValbyACO_MCare[[#This Row],[2021 Member Months (sum of ICC1 + 5)]])</f>
        <v>NA</v>
      </c>
      <c r="L92" s="268" t="str">
        <f>IF(ValbyACO_MCare[[#This Row],[2021 Member Months (sum of ICC1 + 5)]]=0,"NA",(SUMPRODUCT(L106,D106)+SUMPRODUCT(L120,D120))/ValbyACO_MCare[[#This Row],[2021 Member Months (sum of ICC1 + 5)]])</f>
        <v>NA</v>
      </c>
      <c r="M92" s="118" t="str">
        <f>IF(ValbyACO_MCare[[#This Row],[2021 Member Months (sum of ICC1 + 5)]]=0,"NA",(SUMPRODUCT(M106,D106)+SUMPRODUCT(M120,D120))/ValbyACO_MCare[[#This Row],[2021 Member Months (sum of ICC1 + 5)]])</f>
        <v>NA</v>
      </c>
      <c r="N92" s="118" t="str">
        <f>IF(ValbyACO_MCare[[#This Row],[2021 Member Months (sum of ICC1 + 5)]]=0,"NA",(SUMPRODUCT(N106,D106)+SUMPRODUCT(N120,D120))/ValbyACO_MCare[[#This Row],[2021 Member Months (sum of ICC1 + 5)]])</f>
        <v>NA</v>
      </c>
      <c r="O92" s="118" t="str">
        <f>IF(ValbyACO_MCare[[#This Row],[2021 Member Months (sum of ICC1 + 5)]]=0,"NA",(SUMPRODUCT(O106,D106)+SUMPRODUCT(O120,D120))/ValbyACO_MCare[[#This Row],[2021 Member Months (sum of ICC1 + 5)]])</f>
        <v>NA</v>
      </c>
      <c r="P92" s="118" t="str">
        <f>IF(ValbyACO_MCare[[#This Row],[2021 Member Months (sum of ICC1 + 5)]]=0,"NA",(SUMPRODUCT(P106,D106)+SUMPRODUCT(P120,D120))/ValbyACO_MCare[[#This Row],[2021 Member Months (sum of ICC1 + 5)]])</f>
        <v>NA</v>
      </c>
      <c r="Q92" s="119" t="str">
        <f>IF(ValbyACO_MCare[[#This Row],[2021 Member Months (sum of ICC1 + 5)]]=0,"NA",(SUMPRODUCT(Q106,D106)+SUMPRODUCT(Q120,D120))/ValbyACO_MCare[[#This Row],[2021 Member Months (sum of ICC1 + 5)]])</f>
        <v>NA</v>
      </c>
      <c r="R92" s="192">
        <f>R106+R120</f>
        <v>0</v>
      </c>
      <c r="S92" s="118" t="str">
        <f>IF(ValbyACO_MCare[[#This Row],[2022 Member Months (sum of ICC1+ 5)]]=0,"NA",(SUMPRODUCT(S106,R106)+SUMPRODUCT(S120,R120))/ValbyACO_MCare[[#This Row],[2022 Member Months (sum of ICC1+ 5)]])</f>
        <v>NA</v>
      </c>
      <c r="T92" s="118" t="str">
        <f>IF(ValbyACO_MCare[[#This Row],[2022 Member Months (sum of ICC1+ 5)]]=0,"NA",(SUMPRODUCT(T106,R106)+SUMPRODUCT(T120,R120))/ValbyACO_MCare[[#This Row],[2022 Member Months (sum of ICC1+ 5)]])</f>
        <v>NA</v>
      </c>
      <c r="U92" s="118" t="str">
        <f>IF(ValbyACO_MCare[[#This Row],[2022 Member Months (sum of ICC1+ 5)]]=0,"NA",(SUMPRODUCT(U106,R106)+SUMPRODUCT(U120,R120))/ValbyACO_MCare[[#This Row],[2022 Member Months (sum of ICC1+ 5)]])</f>
        <v>NA</v>
      </c>
      <c r="V92" s="118" t="str">
        <f>IF(ValbyACO_MCare[[#This Row],[2022 Member Months (sum of ICC1+ 5)]]=0,"NA",(SUMPRODUCT(V106,R106)+SUMPRODUCT(V120,R120))/ValbyACO_MCare[[#This Row],[2022 Member Months (sum of ICC1+ 5)]])</f>
        <v>NA</v>
      </c>
      <c r="W92" s="118" t="str">
        <f>IF(ValbyACO_MCare[[#This Row],[2022 Member Months (sum of ICC1+ 5)]]=0,"NA",(SUMPRODUCT(W106,R106)+SUMPRODUCT(W120,R120))/ValbyACO_MCare[[#This Row],[2022 Member Months (sum of ICC1+ 5)]])</f>
        <v>NA</v>
      </c>
      <c r="X92" s="118" t="str">
        <f>IF(ValbyACO_MCare[[#This Row],[2022 Member Months (sum of ICC1+ 5)]]=0,"NA",(SUMPRODUCT(X106,R106)+SUMPRODUCT(X120,R120))/ValbyACO_MCare[[#This Row],[2022 Member Months (sum of ICC1+ 5)]])</f>
        <v>NA</v>
      </c>
      <c r="Y92" s="118" t="str">
        <f>IF(ValbyACO_MCare[[#This Row],[2022 Member Months (sum of ICC1+ 5)]]=0,"NA",(SUMPRODUCT(Y106,R106)+SUMPRODUCT(Y120,R120))/ValbyACO_MCare[[#This Row],[2022 Member Months (sum of ICC1+ 5)]])</f>
        <v>NA</v>
      </c>
      <c r="Z92" s="118" t="str">
        <f>IF(ValbyACO_MCare[[#This Row],[2022 Member Months (sum of ICC1+ 5)]]=0,"NA",(SUMPRODUCT(Z106,R106)+SUMPRODUCT(Z120,R120))/ValbyACO_MCare[[#This Row],[2022 Member Months (sum of ICC1+ 5)]])</f>
        <v>NA</v>
      </c>
      <c r="AA92" s="118" t="str">
        <f>IF(ValbyACO_MCare[[#This Row],[2022 Member Months (sum of ICC1+ 5)]]=0,"NA",(SUMPRODUCT(AA106,R106)+SUMPRODUCT(AA120,R120))/ValbyACO_MCare[[#This Row],[2022 Member Months (sum of ICC1+ 5)]])</f>
        <v>NA</v>
      </c>
      <c r="AB92" s="118" t="str">
        <f>IF(ValbyACO_MCare[[#This Row],[2022 Member Months (sum of ICC1+ 5)]]=0,"NA",(SUMPRODUCT(AB106,R106)+SUMPRODUCT(AB120,R120))/ValbyACO_MCare[[#This Row],[2022 Member Months (sum of ICC1+ 5)]])</f>
        <v>NA</v>
      </c>
      <c r="AC92" s="118" t="str">
        <f>IF(ValbyACO_MCare[[#This Row],[2022 Member Months (sum of ICC1+ 5)]]=0,"NA",(SUMPRODUCT(AC106,R106)+SUMPRODUCT(AC120,R120))/ValbyACO_MCare[[#This Row],[2022 Member Months (sum of ICC1+ 5)]])</f>
        <v>NA</v>
      </c>
      <c r="AD92" s="118" t="str">
        <f>IF(ValbyACO_MCare[[#This Row],[2022 Member Months (sum of ICC1+ 5)]]=0,"NA",(SUMPRODUCT(AD106,R106)+SUMPRODUCT(AD120,R120))/ValbyACO_MCare[[#This Row],[2022 Member Months (sum of ICC1+ 5)]])</f>
        <v>NA</v>
      </c>
      <c r="AE92" s="119" t="str">
        <f>IF(ValbyACO_MCare[[#This Row],[2022 Member Months (sum of ICC1+ 5)]]=0,"NA",(SUMPRODUCT(AE106,R106)+SUMPRODUCT(AE120,R120))/ValbyACO_MCare[[#This Row],[2022 Member Months (sum of ICC1+ 5)]])</f>
        <v>NA</v>
      </c>
      <c r="AF92" s="160" t="str">
        <f>IFERROR(IF(ValbyACO_MCare[[#This Row],[2021 Member Months (sum of ICC1 + 5)]]=0,"NA",ValbyACO_MCare[[#This Row],[2022 Member Months (sum of ICC1+ 5)]]/ValbyACO_MCare[[#This Row],[2021 Member Months (sum of ICC1 + 5)]]-1),"NA")</f>
        <v>NA</v>
      </c>
      <c r="AG92" s="161" t="str">
        <f>IFERROR(IF(ValbyACO_MCare[[#This Row],[2021 Member Months (sum of ICC1 + 5)]]=0,"NA",ValbyACO_MCare[[#This Row],[2022 Claims: Hospital Inpatient]]/ValbyACO_MCare[[#This Row],[2021 Claims: Hospital Inpatient]]-1),"NA")</f>
        <v>NA</v>
      </c>
      <c r="AH92" s="162" t="str">
        <f>IFERROR(IF(ValbyACO_MCare[[#This Row],[2021 Member Months (sum of ICC1 + 5)]]=0,"NA",ValbyACO_MCare[[#This Row],[2022 Claims: Hospital Outpatient]]/ValbyACO_MCare[[#This Row],[2021 Claims: Hospital Outpatient]]-1),"NA")</f>
        <v>NA</v>
      </c>
      <c r="AI92" s="162" t="str">
        <f>IFERROR(IF(ValbyACO_MCare[[#This Row],[2021 Member Months (sum of ICC1 + 5)]]=0,"NA",ValbyACO_MCare[[#This Row],[2022 Claims: Professional, Primary Care]]/ValbyACO_MCare[[#This Row],[2021 Claims: Professional, Primary Care]]-1),"NA")</f>
        <v>NA</v>
      </c>
      <c r="AJ92" s="162" t="str">
        <f>IFERROR(IF(ValbyACO_MCare[[#This Row],[2021 Member Months (sum of ICC1 + 5)]]=0,"NA",ValbyACO_MCare[[#This Row],[2022 Claims: Professional, Specialty Care]]/ValbyACO_MCare[[#This Row],[2021 Claims: Professional, Specialty Care]]-1),"NA")</f>
        <v>NA</v>
      </c>
      <c r="AK92" s="162" t="str">
        <f>IFERROR(IF(ValbyACO_MCare[[#This Row],[2021 Member Months (sum of ICC1 + 5)]]=0,"NA", ValbyACO_MCare[[#This Row],[2022 Claims: Professional Other]]/ValbyACO_MCare[[#This Row],[2021 Claims: Professional Other]]-1),"NA")</f>
        <v>NA</v>
      </c>
      <c r="AL92" s="162" t="str">
        <f>IFERROR(IF(ValbyACO_MCare[[#This Row],[2021 Member Months (sum of ICC1 + 5)]]=0,"NA",ValbyACO_MCare[[#This Row],[2022 Claims: Pharmacy (Gross of Retail Pharmacy Rebates)]]/ValbyACO_MCare[[#This Row],[2021 Claims: Pharmacy (Gross of  Rebates)]]-1),"NA")</f>
        <v>NA</v>
      </c>
      <c r="AM92" s="162" t="str">
        <f>IFERROR(IF(ValbyACO_MCare[[#This Row],[2021 Member Months (sum of ICC1 + 5)]]=0,"NA",ValbyACO_MCare[[#This Row],[2022 Claims: Long-term Care]]/ValbyACO_MCare[[#This Row],[2021 Claims: Long-term Care]]-1),"NA")</f>
        <v>NA</v>
      </c>
      <c r="AN92" s="162" t="str">
        <f>IFERROR(IF(ValbyACO_MCare[[#This Row],[2021 Member Months (sum of ICC1 + 5)]]=0,"NA",ValbyACO_MCare[[#This Row],[2022 Claims: Other]]/ValbyACO_MCare[[#This Row],[2021 Claims: Other]]-1),"NA")</f>
        <v>NA</v>
      </c>
      <c r="AO92" s="163" t="str">
        <f>IFERROR(IF(ValbyACO_MCare[[#This Row],[2021 Member Months (sum of ICC1 + 5)]]=0,"NA",ValbyACO_MCare[[#This Row],[2022 TOTAL Non-Truncated Claims Expenses]]/ValbyACO_MCare[[#This Row],[2021 TOTAL Non-Truncated Claims Expenses]]-1),"NA")</f>
        <v>NA</v>
      </c>
      <c r="AP92" s="163" t="str">
        <f>IFERROR(IF(ValbyACO_MCare[[#This Row],[2021 Member Months (sum of ICC1 + 5)]]=0,"NA",ValbyACO_MCare[[#This Row],[2022 TOTAL Truncated Claims Expenses]]/ValbyACO_MCare[[#This Row],[2021 TOTAL Truncated Claims Expenses]]-1),"NA")</f>
        <v>NA</v>
      </c>
      <c r="AQ92" s="163" t="str">
        <f>IFERROR(IF(ValbyACO_MCare[[#This Row],[2021 Member Months (sum of ICC1 + 5)]]=0,"NA",ValbyACO_MCare[[#This Row],[2022 TOTAL Non-Claims Expenses]]/ValbyACO_MCare[[#This Row],[2021 TOTAL Non-Claims Expenses]]-1),"NA")</f>
        <v>NA</v>
      </c>
      <c r="AR92" s="163" t="str">
        <f>IFERROR(IF(ValbyACO_MCare[[#This Row],[2021 Member Months (sum of ICC1 + 5)]]=0,"NA",ValbyACO_MCare[[#This Row],[2022 TOTAL Non-Truncated Total Expenses]]/ValbyACO_MCare[[#This Row],[2021 TOTAL Non-Truncated Total Expenses]]-1),"NA")</f>
        <v>NA</v>
      </c>
      <c r="AS92" s="163" t="str">
        <f>IFERROR(IF(ValbyACO_MCare[[#This Row],[2021 Member Months (sum of ICC1 + 5)]]=0,"NA",ValbyACO_MCare[[#This Row],[2022 TOTAL Truncated Total Expenses]]/ValbyACO_MCare[[#This Row],[2021 TOTAL Truncated Total Expenses]]-1),"NA")</f>
        <v>NA</v>
      </c>
    </row>
    <row r="93" spans="1:45" x14ac:dyDescent="0.35">
      <c r="B93" s="250">
        <v>102</v>
      </c>
      <c r="C93" s="131" t="s">
        <v>190</v>
      </c>
      <c r="D93" s="192">
        <f t="shared" ref="D93:D101" si="10">D107+D121</f>
        <v>0</v>
      </c>
      <c r="E93" s="268" t="str">
        <f>IF(ValbyACO_MCare[[#This Row],[2021 Member Months (sum of ICC1 + 5)]]=0,"NA",(SUMPRODUCT(E107,D107)+SUMPRODUCT(E121,D121))/ValbyACO_MCare[[#This Row],[2021 Member Months (sum of ICC1 + 5)]])</f>
        <v>NA</v>
      </c>
      <c r="F93" s="268" t="str">
        <f>IF(ValbyACO_MCare[[#This Row],[2021 Member Months (sum of ICC1 + 5)]]=0,"NA",(SUMPRODUCT(F107,D107)+SUMPRODUCT(F121,D121))/ValbyACO_MCare[[#This Row],[2021 Member Months (sum of ICC1 + 5)]])</f>
        <v>NA</v>
      </c>
      <c r="G93" s="268" t="str">
        <f>IF(ValbyACO_MCare[[#This Row],[2021 Member Months (sum of ICC1 + 5)]]=0,"NA",(SUMPRODUCT(G107,D107)+SUMPRODUCT(G121,D121))/ValbyACO_MCare[[#This Row],[2021 Member Months (sum of ICC1 + 5)]])</f>
        <v>NA</v>
      </c>
      <c r="H93" s="268" t="str">
        <f>IF(ValbyACO_MCare[[#This Row],[2021 Member Months (sum of ICC1 + 5)]]=0,"NA",(SUMPRODUCT(H107,D107)+SUMPRODUCT(H121,D121))/ValbyACO_MCare[[#This Row],[2021 Member Months (sum of ICC1 + 5)]])</f>
        <v>NA</v>
      </c>
      <c r="I93" s="268" t="str">
        <f>IF(ValbyACO_MCare[[#This Row],[2021 Member Months (sum of ICC1 + 5)]]=0,"NA",(SUMPRODUCT(I107,D107)+SUMPRODUCT(I121,D121))/ValbyACO_MCare[[#This Row],[2021 Member Months (sum of ICC1 + 5)]])</f>
        <v>NA</v>
      </c>
      <c r="J93" s="268" t="str">
        <f>IF(ValbyACO_MCare[[#This Row],[2021 Member Months (sum of ICC1 + 5)]]=0,"NA",(SUMPRODUCT(J107,D107)+SUMPRODUCT(J121,D121))/ValbyACO_MCare[[#This Row],[2021 Member Months (sum of ICC1 + 5)]])</f>
        <v>NA</v>
      </c>
      <c r="K93" s="268" t="str">
        <f>IF(ValbyACO_MCare[[#This Row],[2021 Member Months (sum of ICC1 + 5)]]=0,"NA",(SUMPRODUCT(K107,D107)+SUMPRODUCT(K121,D121))/ValbyACO_MCare[[#This Row],[2021 Member Months (sum of ICC1 + 5)]])</f>
        <v>NA</v>
      </c>
      <c r="L93" s="268" t="str">
        <f>IF(ValbyACO_MCare[[#This Row],[2021 Member Months (sum of ICC1 + 5)]]=0,"NA",(SUMPRODUCT(L107,D107)+SUMPRODUCT(L121,D121))/ValbyACO_MCare[[#This Row],[2021 Member Months (sum of ICC1 + 5)]])</f>
        <v>NA</v>
      </c>
      <c r="M93" s="118" t="str">
        <f>IF(ValbyACO_MCare[[#This Row],[2021 Member Months (sum of ICC1 + 5)]]=0,"NA",(SUMPRODUCT(M107,D107)+SUMPRODUCT(M121,D121))/ValbyACO_MCare[[#This Row],[2021 Member Months (sum of ICC1 + 5)]])</f>
        <v>NA</v>
      </c>
      <c r="N93" s="118" t="str">
        <f>IF(ValbyACO_MCare[[#This Row],[2021 Member Months (sum of ICC1 + 5)]]=0,"NA",(SUMPRODUCT(N107,D107)+SUMPRODUCT(N121,D121))/ValbyACO_MCare[[#This Row],[2021 Member Months (sum of ICC1 + 5)]])</f>
        <v>NA</v>
      </c>
      <c r="O93" s="118" t="str">
        <f>IF(ValbyACO_MCare[[#This Row],[2021 Member Months (sum of ICC1 + 5)]]=0,"NA",(SUMPRODUCT(O107,D107)+SUMPRODUCT(O121,D121))/ValbyACO_MCare[[#This Row],[2021 Member Months (sum of ICC1 + 5)]])</f>
        <v>NA</v>
      </c>
      <c r="P93" s="118" t="str">
        <f>IF(ValbyACO_MCare[[#This Row],[2021 Member Months (sum of ICC1 + 5)]]=0,"NA",(SUMPRODUCT(P107,D107)+SUMPRODUCT(P121,D121))/ValbyACO_MCare[[#This Row],[2021 Member Months (sum of ICC1 + 5)]])</f>
        <v>NA</v>
      </c>
      <c r="Q93" s="119" t="str">
        <f>IF(ValbyACO_MCare[[#This Row],[2021 Member Months (sum of ICC1 + 5)]]=0,"NA",(SUMPRODUCT(Q107,D107)+SUMPRODUCT(Q121,D121))/ValbyACO_MCare[[#This Row],[2021 Member Months (sum of ICC1 + 5)]])</f>
        <v>NA</v>
      </c>
      <c r="R93" s="192">
        <f t="shared" ref="R93:R101" si="11">R107+R121</f>
        <v>0</v>
      </c>
      <c r="S93" s="118" t="str">
        <f>IF(ValbyACO_MCare[[#This Row],[2022 Member Months (sum of ICC1+ 5)]]=0,"NA",(SUMPRODUCT(S107,R107)+SUMPRODUCT(S121,R121))/ValbyACO_MCare[[#This Row],[2022 Member Months (sum of ICC1+ 5)]])</f>
        <v>NA</v>
      </c>
      <c r="T93" s="118" t="str">
        <f>IF(ValbyACO_MCare[[#This Row],[2022 Member Months (sum of ICC1+ 5)]]=0,"NA",(SUMPRODUCT(T107,R107)+SUMPRODUCT(T121,R121))/ValbyACO_MCare[[#This Row],[2022 Member Months (sum of ICC1+ 5)]])</f>
        <v>NA</v>
      </c>
      <c r="U93" s="118" t="str">
        <f>IF(ValbyACO_MCare[[#This Row],[2022 Member Months (sum of ICC1+ 5)]]=0,"NA",(SUMPRODUCT(U107,R107)+SUMPRODUCT(U121,R121))/ValbyACO_MCare[[#This Row],[2022 Member Months (sum of ICC1+ 5)]])</f>
        <v>NA</v>
      </c>
      <c r="V93" s="118" t="str">
        <f>IF(ValbyACO_MCare[[#This Row],[2022 Member Months (sum of ICC1+ 5)]]=0,"NA",(SUMPRODUCT(V107,R107)+SUMPRODUCT(V121,R121))/ValbyACO_MCare[[#This Row],[2022 Member Months (sum of ICC1+ 5)]])</f>
        <v>NA</v>
      </c>
      <c r="W93" s="118" t="str">
        <f>IF(ValbyACO_MCare[[#This Row],[2022 Member Months (sum of ICC1+ 5)]]=0,"NA",(SUMPRODUCT(W107,R107)+SUMPRODUCT(W121,R121))/ValbyACO_MCare[[#This Row],[2022 Member Months (sum of ICC1+ 5)]])</f>
        <v>NA</v>
      </c>
      <c r="X93" s="118" t="str">
        <f>IF(ValbyACO_MCare[[#This Row],[2022 Member Months (sum of ICC1+ 5)]]=0,"NA",(SUMPRODUCT(X107,R107)+SUMPRODUCT(X121,R121))/ValbyACO_MCare[[#This Row],[2022 Member Months (sum of ICC1+ 5)]])</f>
        <v>NA</v>
      </c>
      <c r="Y93" s="118" t="str">
        <f>IF(ValbyACO_MCare[[#This Row],[2022 Member Months (sum of ICC1+ 5)]]=0,"NA",(SUMPRODUCT(Y107,R107)+SUMPRODUCT(Y121,R121))/ValbyACO_MCare[[#This Row],[2022 Member Months (sum of ICC1+ 5)]])</f>
        <v>NA</v>
      </c>
      <c r="Z93" s="118" t="str">
        <f>IF(ValbyACO_MCare[[#This Row],[2022 Member Months (sum of ICC1+ 5)]]=0,"NA",(SUMPRODUCT(Z107,R107)+SUMPRODUCT(Z121,R121))/ValbyACO_MCare[[#This Row],[2022 Member Months (sum of ICC1+ 5)]])</f>
        <v>NA</v>
      </c>
      <c r="AA93" s="118" t="str">
        <f>IF(ValbyACO_MCare[[#This Row],[2022 Member Months (sum of ICC1+ 5)]]=0,"NA",(SUMPRODUCT(AA107,R107)+SUMPRODUCT(AA121,R121))/ValbyACO_MCare[[#This Row],[2022 Member Months (sum of ICC1+ 5)]])</f>
        <v>NA</v>
      </c>
      <c r="AB93" s="118" t="str">
        <f>IF(ValbyACO_MCare[[#This Row],[2022 Member Months (sum of ICC1+ 5)]]=0,"NA",(SUMPRODUCT(AB107,R107)+SUMPRODUCT(AB121,R121))/ValbyACO_MCare[[#This Row],[2022 Member Months (sum of ICC1+ 5)]])</f>
        <v>NA</v>
      </c>
      <c r="AC93" s="118" t="str">
        <f>IF(ValbyACO_MCare[[#This Row],[2022 Member Months (sum of ICC1+ 5)]]=0,"NA",(SUMPRODUCT(AC107,R107)+SUMPRODUCT(AC121,R121))/ValbyACO_MCare[[#This Row],[2022 Member Months (sum of ICC1+ 5)]])</f>
        <v>NA</v>
      </c>
      <c r="AD93" s="118" t="str">
        <f>IF(ValbyACO_MCare[[#This Row],[2022 Member Months (sum of ICC1+ 5)]]=0,"NA",(SUMPRODUCT(AD107,R107)+SUMPRODUCT(AD121,R121))/ValbyACO_MCare[[#This Row],[2022 Member Months (sum of ICC1+ 5)]])</f>
        <v>NA</v>
      </c>
      <c r="AE93" s="119" t="str">
        <f>IF(ValbyACO_MCare[[#This Row],[2022 Member Months (sum of ICC1+ 5)]]=0,"NA",(SUMPRODUCT(AE107,R107)+SUMPRODUCT(AE121,R121))/ValbyACO_MCare[[#This Row],[2022 Member Months (sum of ICC1+ 5)]])</f>
        <v>NA</v>
      </c>
      <c r="AF93" s="160" t="str">
        <f>IFERROR(IF(ValbyACO_MCare[[#This Row],[2021 Member Months (sum of ICC1 + 5)]]=0,"NA",ValbyACO_MCare[[#This Row],[2022 Member Months (sum of ICC1+ 5)]]/ValbyACO_MCare[[#This Row],[2021 Member Months (sum of ICC1 + 5)]]-1),"NA")</f>
        <v>NA</v>
      </c>
      <c r="AG93" s="161" t="str">
        <f>IFERROR(IF(ValbyACO_MCare[[#This Row],[2021 Member Months (sum of ICC1 + 5)]]=0,"NA",ValbyACO_MCare[[#This Row],[2022 Claims: Hospital Inpatient]]/ValbyACO_MCare[[#This Row],[2021 Claims: Hospital Inpatient]]-1),"NA")</f>
        <v>NA</v>
      </c>
      <c r="AH93" s="162" t="str">
        <f>IFERROR(IF(ValbyACO_MCare[[#This Row],[2021 Member Months (sum of ICC1 + 5)]]=0,"NA",ValbyACO_MCare[[#This Row],[2022 Claims: Hospital Outpatient]]/ValbyACO_MCare[[#This Row],[2021 Claims: Hospital Outpatient]]-1),"NA")</f>
        <v>NA</v>
      </c>
      <c r="AI93" s="162" t="str">
        <f>IFERROR(IF(ValbyACO_MCare[[#This Row],[2021 Member Months (sum of ICC1 + 5)]]=0,"NA",ValbyACO_MCare[[#This Row],[2022 Claims: Professional, Primary Care]]/ValbyACO_MCare[[#This Row],[2021 Claims: Professional, Primary Care]]-1),"NA")</f>
        <v>NA</v>
      </c>
      <c r="AJ93" s="162" t="str">
        <f>IFERROR(IF(ValbyACO_MCare[[#This Row],[2021 Member Months (sum of ICC1 + 5)]]=0,"NA",ValbyACO_MCare[[#This Row],[2022 Claims: Professional, Specialty Care]]/ValbyACO_MCare[[#This Row],[2021 Claims: Professional, Specialty Care]]-1),"NA")</f>
        <v>NA</v>
      </c>
      <c r="AK93" s="162" t="str">
        <f>IFERROR(IF(ValbyACO_MCare[[#This Row],[2021 Member Months (sum of ICC1 + 5)]]=0,"NA", ValbyACO_MCare[[#This Row],[2022 Claims: Professional Other]]/ValbyACO_MCare[[#This Row],[2021 Claims: Professional Other]]-1),"NA")</f>
        <v>NA</v>
      </c>
      <c r="AL93" s="162" t="str">
        <f>IFERROR(IF(ValbyACO_MCare[[#This Row],[2021 Member Months (sum of ICC1 + 5)]]=0,"NA",ValbyACO_MCare[[#This Row],[2022 Claims: Pharmacy (Gross of Retail Pharmacy Rebates)]]/ValbyACO_MCare[[#This Row],[2021 Claims: Pharmacy (Gross of  Rebates)]]-1),"NA")</f>
        <v>NA</v>
      </c>
      <c r="AM93" s="162" t="str">
        <f>IFERROR(IF(ValbyACO_MCare[[#This Row],[2021 Member Months (sum of ICC1 + 5)]]=0,"NA",ValbyACO_MCare[[#This Row],[2022 Claims: Long-term Care]]/ValbyACO_MCare[[#This Row],[2021 Claims: Long-term Care]]-1),"NA")</f>
        <v>NA</v>
      </c>
      <c r="AN93" s="162" t="str">
        <f>IFERROR(IF(ValbyACO_MCare[[#This Row],[2021 Member Months (sum of ICC1 + 5)]]=0,"NA",ValbyACO_MCare[[#This Row],[2022 Claims: Other]]/ValbyACO_MCare[[#This Row],[2021 Claims: Other]]-1),"NA")</f>
        <v>NA</v>
      </c>
      <c r="AO93" s="163" t="str">
        <f>IFERROR(IF(ValbyACO_MCare[[#This Row],[2021 Member Months (sum of ICC1 + 5)]]=0,"NA",ValbyACO_MCare[[#This Row],[2022 TOTAL Non-Truncated Claims Expenses]]/ValbyACO_MCare[[#This Row],[2021 TOTAL Non-Truncated Claims Expenses]]-1),"NA")</f>
        <v>NA</v>
      </c>
      <c r="AP93" s="163" t="str">
        <f>IFERROR(IF(ValbyACO_MCare[[#This Row],[2021 Member Months (sum of ICC1 + 5)]]=0,"NA",ValbyACO_MCare[[#This Row],[2022 TOTAL Truncated Claims Expenses]]/ValbyACO_MCare[[#This Row],[2021 TOTAL Truncated Claims Expenses]]-1),"NA")</f>
        <v>NA</v>
      </c>
      <c r="AQ93" s="163" t="str">
        <f>IFERROR(IF(ValbyACO_MCare[[#This Row],[2021 Member Months (sum of ICC1 + 5)]]=0,"NA",ValbyACO_MCare[[#This Row],[2022 TOTAL Non-Claims Expenses]]/ValbyACO_MCare[[#This Row],[2021 TOTAL Non-Claims Expenses]]-1),"NA")</f>
        <v>NA</v>
      </c>
      <c r="AR93" s="163" t="str">
        <f>IFERROR(IF(ValbyACO_MCare[[#This Row],[2021 Member Months (sum of ICC1 + 5)]]=0,"NA",ValbyACO_MCare[[#This Row],[2022 TOTAL Non-Truncated Total Expenses]]/ValbyACO_MCare[[#This Row],[2021 TOTAL Non-Truncated Total Expenses]]-1),"NA")</f>
        <v>NA</v>
      </c>
      <c r="AS93" s="163" t="str">
        <f>IFERROR(IF(ValbyACO_MCare[[#This Row],[2021 Member Months (sum of ICC1 + 5)]]=0,"NA",ValbyACO_MCare[[#This Row],[2022 TOTAL Truncated Total Expenses]]/ValbyACO_MCare[[#This Row],[2021 TOTAL Truncated Total Expenses]]-1),"NA")</f>
        <v>NA</v>
      </c>
    </row>
    <row r="94" spans="1:45" x14ac:dyDescent="0.35">
      <c r="B94" s="250">
        <v>103</v>
      </c>
      <c r="C94" s="131" t="s">
        <v>168</v>
      </c>
      <c r="D94" s="192">
        <f t="shared" si="10"/>
        <v>0</v>
      </c>
      <c r="E94" s="268" t="str">
        <f>IF(ValbyACO_MCare[[#This Row],[2021 Member Months (sum of ICC1 + 5)]]=0,"NA",(SUMPRODUCT(E108,D108)+SUMPRODUCT(E122,D122))/ValbyACO_MCare[[#This Row],[2021 Member Months (sum of ICC1 + 5)]])</f>
        <v>NA</v>
      </c>
      <c r="F94" s="268" t="str">
        <f>IF(ValbyACO_MCare[[#This Row],[2021 Member Months (sum of ICC1 + 5)]]=0,"NA",(SUMPRODUCT(F108,D108)+SUMPRODUCT(F122,D122))/ValbyACO_MCare[[#This Row],[2021 Member Months (sum of ICC1 + 5)]])</f>
        <v>NA</v>
      </c>
      <c r="G94" s="268" t="str">
        <f>IF(ValbyACO_MCare[[#This Row],[2021 Member Months (sum of ICC1 + 5)]]=0,"NA",(SUMPRODUCT(G108,D108)+SUMPRODUCT(G122,D122))/ValbyACO_MCare[[#This Row],[2021 Member Months (sum of ICC1 + 5)]])</f>
        <v>NA</v>
      </c>
      <c r="H94" s="268" t="str">
        <f>IF(ValbyACO_MCare[[#This Row],[2021 Member Months (sum of ICC1 + 5)]]=0,"NA",(SUMPRODUCT(H108,D108)+SUMPRODUCT(H122,D122))/ValbyACO_MCare[[#This Row],[2021 Member Months (sum of ICC1 + 5)]])</f>
        <v>NA</v>
      </c>
      <c r="I94" s="268" t="str">
        <f>IF(ValbyACO_MCare[[#This Row],[2021 Member Months (sum of ICC1 + 5)]]=0,"NA",(SUMPRODUCT(I108,D108)+SUMPRODUCT(I122,D122))/ValbyACO_MCare[[#This Row],[2021 Member Months (sum of ICC1 + 5)]])</f>
        <v>NA</v>
      </c>
      <c r="J94" s="268" t="str">
        <f>IF(ValbyACO_MCare[[#This Row],[2021 Member Months (sum of ICC1 + 5)]]=0,"NA",(SUMPRODUCT(J108,D108)+SUMPRODUCT(J122,D122))/ValbyACO_MCare[[#This Row],[2021 Member Months (sum of ICC1 + 5)]])</f>
        <v>NA</v>
      </c>
      <c r="K94" s="268" t="str">
        <f>IF(ValbyACO_MCare[[#This Row],[2021 Member Months (sum of ICC1 + 5)]]=0,"NA",(SUMPRODUCT(K108,D108)+SUMPRODUCT(K122,D122))/ValbyACO_MCare[[#This Row],[2021 Member Months (sum of ICC1 + 5)]])</f>
        <v>NA</v>
      </c>
      <c r="L94" s="268" t="str">
        <f>IF(ValbyACO_MCare[[#This Row],[2021 Member Months (sum of ICC1 + 5)]]=0,"NA",(SUMPRODUCT(L108,D108)+SUMPRODUCT(L122,D122))/ValbyACO_MCare[[#This Row],[2021 Member Months (sum of ICC1 + 5)]])</f>
        <v>NA</v>
      </c>
      <c r="M94" s="118" t="str">
        <f>IF(ValbyACO_MCare[[#This Row],[2021 Member Months (sum of ICC1 + 5)]]=0,"NA",(SUMPRODUCT(M108,D108)+SUMPRODUCT(M122,D122))/ValbyACO_MCare[[#This Row],[2021 Member Months (sum of ICC1 + 5)]])</f>
        <v>NA</v>
      </c>
      <c r="N94" s="118" t="str">
        <f>IF(ValbyACO_MCare[[#This Row],[2021 Member Months (sum of ICC1 + 5)]]=0,"NA",(SUMPRODUCT(N108,D108)+SUMPRODUCT(N122,D122))/ValbyACO_MCare[[#This Row],[2021 Member Months (sum of ICC1 + 5)]])</f>
        <v>NA</v>
      </c>
      <c r="O94" s="118" t="str">
        <f>IF(ValbyACO_MCare[[#This Row],[2021 Member Months (sum of ICC1 + 5)]]=0,"NA",(SUMPRODUCT(O108,D108)+SUMPRODUCT(O122,D122))/ValbyACO_MCare[[#This Row],[2021 Member Months (sum of ICC1 + 5)]])</f>
        <v>NA</v>
      </c>
      <c r="P94" s="118" t="str">
        <f>IF(ValbyACO_MCare[[#This Row],[2021 Member Months (sum of ICC1 + 5)]]=0,"NA",(SUMPRODUCT(P108,D108)+SUMPRODUCT(P122,D122))/ValbyACO_MCare[[#This Row],[2021 Member Months (sum of ICC1 + 5)]])</f>
        <v>NA</v>
      </c>
      <c r="Q94" s="119" t="str">
        <f>IF(ValbyACO_MCare[[#This Row],[2021 Member Months (sum of ICC1 + 5)]]=0,"NA",(SUMPRODUCT(Q108,D108)+SUMPRODUCT(Q122,D122))/ValbyACO_MCare[[#This Row],[2021 Member Months (sum of ICC1 + 5)]])</f>
        <v>NA</v>
      </c>
      <c r="R94" s="192">
        <f t="shared" si="11"/>
        <v>0</v>
      </c>
      <c r="S94" s="118" t="str">
        <f>IF(ValbyACO_MCare[[#This Row],[2022 Member Months (sum of ICC1+ 5)]]=0,"NA",(SUMPRODUCT(S108,R108)+SUMPRODUCT(S122,R122))/ValbyACO_MCare[[#This Row],[2022 Member Months (sum of ICC1+ 5)]])</f>
        <v>NA</v>
      </c>
      <c r="T94" s="118" t="str">
        <f>IF(ValbyACO_MCare[[#This Row],[2022 Member Months (sum of ICC1+ 5)]]=0,"NA",(SUMPRODUCT(T108,R108)+SUMPRODUCT(T122,R122))/ValbyACO_MCare[[#This Row],[2022 Member Months (sum of ICC1+ 5)]])</f>
        <v>NA</v>
      </c>
      <c r="U94" s="118" t="str">
        <f>IF(ValbyACO_MCare[[#This Row],[2022 Member Months (sum of ICC1+ 5)]]=0,"NA",(SUMPRODUCT(U108,R108)+SUMPRODUCT(U122,R122))/ValbyACO_MCare[[#This Row],[2022 Member Months (sum of ICC1+ 5)]])</f>
        <v>NA</v>
      </c>
      <c r="V94" s="118" t="str">
        <f>IF(ValbyACO_MCare[[#This Row],[2022 Member Months (sum of ICC1+ 5)]]=0,"NA",(SUMPRODUCT(V108,R108)+SUMPRODUCT(V122,R122))/ValbyACO_MCare[[#This Row],[2022 Member Months (sum of ICC1+ 5)]])</f>
        <v>NA</v>
      </c>
      <c r="W94" s="118" t="str">
        <f>IF(ValbyACO_MCare[[#This Row],[2022 Member Months (sum of ICC1+ 5)]]=0,"NA",(SUMPRODUCT(W108,R108)+SUMPRODUCT(W122,R122))/ValbyACO_MCare[[#This Row],[2022 Member Months (sum of ICC1+ 5)]])</f>
        <v>NA</v>
      </c>
      <c r="X94" s="118" t="str">
        <f>IF(ValbyACO_MCare[[#This Row],[2022 Member Months (sum of ICC1+ 5)]]=0,"NA",(SUMPRODUCT(X108,R108)+SUMPRODUCT(X122,R122))/ValbyACO_MCare[[#This Row],[2022 Member Months (sum of ICC1+ 5)]])</f>
        <v>NA</v>
      </c>
      <c r="Y94" s="118" t="str">
        <f>IF(ValbyACO_MCare[[#This Row],[2022 Member Months (sum of ICC1+ 5)]]=0,"NA",(SUMPRODUCT(Y108,R108)+SUMPRODUCT(Y122,R122))/ValbyACO_MCare[[#This Row],[2022 Member Months (sum of ICC1+ 5)]])</f>
        <v>NA</v>
      </c>
      <c r="Z94" s="118" t="str">
        <f>IF(ValbyACO_MCare[[#This Row],[2022 Member Months (sum of ICC1+ 5)]]=0,"NA",(SUMPRODUCT(Z108,R108)+SUMPRODUCT(Z122,R122))/ValbyACO_MCare[[#This Row],[2022 Member Months (sum of ICC1+ 5)]])</f>
        <v>NA</v>
      </c>
      <c r="AA94" s="118" t="str">
        <f>IF(ValbyACO_MCare[[#This Row],[2022 Member Months (sum of ICC1+ 5)]]=0,"NA",(SUMPRODUCT(AA108,R108)+SUMPRODUCT(AA122,R122))/ValbyACO_MCare[[#This Row],[2022 Member Months (sum of ICC1+ 5)]])</f>
        <v>NA</v>
      </c>
      <c r="AB94" s="118" t="str">
        <f>IF(ValbyACO_MCare[[#This Row],[2022 Member Months (sum of ICC1+ 5)]]=0,"NA",(SUMPRODUCT(AB108,R108)+SUMPRODUCT(AB122,R122))/ValbyACO_MCare[[#This Row],[2022 Member Months (sum of ICC1+ 5)]])</f>
        <v>NA</v>
      </c>
      <c r="AC94" s="118" t="str">
        <f>IF(ValbyACO_MCare[[#This Row],[2022 Member Months (sum of ICC1+ 5)]]=0,"NA",(SUMPRODUCT(AC108,R108)+SUMPRODUCT(AC122,R122))/ValbyACO_MCare[[#This Row],[2022 Member Months (sum of ICC1+ 5)]])</f>
        <v>NA</v>
      </c>
      <c r="AD94" s="118" t="str">
        <f>IF(ValbyACO_MCare[[#This Row],[2022 Member Months (sum of ICC1+ 5)]]=0,"NA",(SUMPRODUCT(AD108,R108)+SUMPRODUCT(AD122,R122))/ValbyACO_MCare[[#This Row],[2022 Member Months (sum of ICC1+ 5)]])</f>
        <v>NA</v>
      </c>
      <c r="AE94" s="119" t="str">
        <f>IF(ValbyACO_MCare[[#This Row],[2022 Member Months (sum of ICC1+ 5)]]=0,"NA",(SUMPRODUCT(AE108,R108)+SUMPRODUCT(AE122,R122))/ValbyACO_MCare[[#This Row],[2022 Member Months (sum of ICC1+ 5)]])</f>
        <v>NA</v>
      </c>
      <c r="AF94" s="160" t="str">
        <f>IFERROR(IF(ValbyACO_MCare[[#This Row],[2021 Member Months (sum of ICC1 + 5)]]=0,"NA",ValbyACO_MCare[[#This Row],[2022 Member Months (sum of ICC1+ 5)]]/ValbyACO_MCare[[#This Row],[2021 Member Months (sum of ICC1 + 5)]]-1),"NA")</f>
        <v>NA</v>
      </c>
      <c r="AG94" s="161" t="str">
        <f>IFERROR(IF(ValbyACO_MCare[[#This Row],[2021 Member Months (sum of ICC1 + 5)]]=0,"NA",ValbyACO_MCare[[#This Row],[2022 Claims: Hospital Inpatient]]/ValbyACO_MCare[[#This Row],[2021 Claims: Hospital Inpatient]]-1),"NA")</f>
        <v>NA</v>
      </c>
      <c r="AH94" s="162" t="str">
        <f>IFERROR(IF(ValbyACO_MCare[[#This Row],[2021 Member Months (sum of ICC1 + 5)]]=0,"NA",ValbyACO_MCare[[#This Row],[2022 Claims: Hospital Outpatient]]/ValbyACO_MCare[[#This Row],[2021 Claims: Hospital Outpatient]]-1),"NA")</f>
        <v>NA</v>
      </c>
      <c r="AI94" s="162" t="str">
        <f>IFERROR(IF(ValbyACO_MCare[[#This Row],[2021 Member Months (sum of ICC1 + 5)]]=0,"NA",ValbyACO_MCare[[#This Row],[2022 Claims: Professional, Primary Care]]/ValbyACO_MCare[[#This Row],[2021 Claims: Professional, Primary Care]]-1),"NA")</f>
        <v>NA</v>
      </c>
      <c r="AJ94" s="162" t="str">
        <f>IFERROR(IF(ValbyACO_MCare[[#This Row],[2021 Member Months (sum of ICC1 + 5)]]=0,"NA",ValbyACO_MCare[[#This Row],[2022 Claims: Professional, Specialty Care]]/ValbyACO_MCare[[#This Row],[2021 Claims: Professional, Specialty Care]]-1),"NA")</f>
        <v>NA</v>
      </c>
      <c r="AK94" s="162" t="str">
        <f>IFERROR(IF(ValbyACO_MCare[[#This Row],[2021 Member Months (sum of ICC1 + 5)]]=0,"NA", ValbyACO_MCare[[#This Row],[2022 Claims: Professional Other]]/ValbyACO_MCare[[#This Row],[2021 Claims: Professional Other]]-1),"NA")</f>
        <v>NA</v>
      </c>
      <c r="AL94" s="162" t="str">
        <f>IFERROR(IF(ValbyACO_MCare[[#This Row],[2021 Member Months (sum of ICC1 + 5)]]=0,"NA",ValbyACO_MCare[[#This Row],[2022 Claims: Pharmacy (Gross of Retail Pharmacy Rebates)]]/ValbyACO_MCare[[#This Row],[2021 Claims: Pharmacy (Gross of  Rebates)]]-1),"NA")</f>
        <v>NA</v>
      </c>
      <c r="AM94" s="162" t="str">
        <f>IFERROR(IF(ValbyACO_MCare[[#This Row],[2021 Member Months (sum of ICC1 + 5)]]=0,"NA",ValbyACO_MCare[[#This Row],[2022 Claims: Long-term Care]]/ValbyACO_MCare[[#This Row],[2021 Claims: Long-term Care]]-1),"NA")</f>
        <v>NA</v>
      </c>
      <c r="AN94" s="162" t="str">
        <f>IFERROR(IF(ValbyACO_MCare[[#This Row],[2021 Member Months (sum of ICC1 + 5)]]=0,"NA",ValbyACO_MCare[[#This Row],[2022 Claims: Other]]/ValbyACO_MCare[[#This Row],[2021 Claims: Other]]-1),"NA")</f>
        <v>NA</v>
      </c>
      <c r="AO94" s="163" t="str">
        <f>IFERROR(IF(ValbyACO_MCare[[#This Row],[2021 Member Months (sum of ICC1 + 5)]]=0,"NA",ValbyACO_MCare[[#This Row],[2022 TOTAL Non-Truncated Claims Expenses]]/ValbyACO_MCare[[#This Row],[2021 TOTAL Non-Truncated Claims Expenses]]-1),"NA")</f>
        <v>NA</v>
      </c>
      <c r="AP94" s="163" t="str">
        <f>IFERROR(IF(ValbyACO_MCare[[#This Row],[2021 Member Months (sum of ICC1 + 5)]]=0,"NA",ValbyACO_MCare[[#This Row],[2022 TOTAL Truncated Claims Expenses]]/ValbyACO_MCare[[#This Row],[2021 TOTAL Truncated Claims Expenses]]-1),"NA")</f>
        <v>NA</v>
      </c>
      <c r="AQ94" s="163" t="str">
        <f>IFERROR(IF(ValbyACO_MCare[[#This Row],[2021 Member Months (sum of ICC1 + 5)]]=0,"NA",ValbyACO_MCare[[#This Row],[2022 TOTAL Non-Claims Expenses]]/ValbyACO_MCare[[#This Row],[2021 TOTAL Non-Claims Expenses]]-1),"NA")</f>
        <v>NA</v>
      </c>
      <c r="AR94" s="163" t="str">
        <f>IFERROR(IF(ValbyACO_MCare[[#This Row],[2021 Member Months (sum of ICC1 + 5)]]=0,"NA",ValbyACO_MCare[[#This Row],[2022 TOTAL Non-Truncated Total Expenses]]/ValbyACO_MCare[[#This Row],[2021 TOTAL Non-Truncated Total Expenses]]-1),"NA")</f>
        <v>NA</v>
      </c>
      <c r="AS94" s="163" t="str">
        <f>IFERROR(IF(ValbyACO_MCare[[#This Row],[2021 Member Months (sum of ICC1 + 5)]]=0,"NA",ValbyACO_MCare[[#This Row],[2022 TOTAL Truncated Total Expenses]]/ValbyACO_MCare[[#This Row],[2021 TOTAL Truncated Total Expenses]]-1),"NA")</f>
        <v>NA</v>
      </c>
    </row>
    <row r="95" spans="1:45" x14ac:dyDescent="0.35">
      <c r="B95" s="250">
        <v>104</v>
      </c>
      <c r="C95" s="131" t="s">
        <v>191</v>
      </c>
      <c r="D95" s="192">
        <f t="shared" si="10"/>
        <v>0</v>
      </c>
      <c r="E95" s="268" t="str">
        <f>IF(ValbyACO_MCare[[#This Row],[2021 Member Months (sum of ICC1 + 5)]]=0,"NA",(SUMPRODUCT(E109,D109)+SUMPRODUCT(E123,D123))/ValbyACO_MCare[[#This Row],[2021 Member Months (sum of ICC1 + 5)]])</f>
        <v>NA</v>
      </c>
      <c r="F95" s="268" t="str">
        <f>IF(ValbyACO_MCare[[#This Row],[2021 Member Months (sum of ICC1 + 5)]]=0,"NA",(SUMPRODUCT(F109,D109)+SUMPRODUCT(F123,D123))/ValbyACO_MCare[[#This Row],[2021 Member Months (sum of ICC1 + 5)]])</f>
        <v>NA</v>
      </c>
      <c r="G95" s="268" t="str">
        <f>IF(ValbyACO_MCare[[#This Row],[2021 Member Months (sum of ICC1 + 5)]]=0,"NA",(SUMPRODUCT(G109,D109)+SUMPRODUCT(G123,D123))/ValbyACO_MCare[[#This Row],[2021 Member Months (sum of ICC1 + 5)]])</f>
        <v>NA</v>
      </c>
      <c r="H95" s="268" t="str">
        <f>IF(ValbyACO_MCare[[#This Row],[2021 Member Months (sum of ICC1 + 5)]]=0,"NA",(SUMPRODUCT(H109,D109)+SUMPRODUCT(H123,D123))/ValbyACO_MCare[[#This Row],[2021 Member Months (sum of ICC1 + 5)]])</f>
        <v>NA</v>
      </c>
      <c r="I95" s="268" t="str">
        <f>IF(ValbyACO_MCare[[#This Row],[2021 Member Months (sum of ICC1 + 5)]]=0,"NA",(SUMPRODUCT(I109,D109)+SUMPRODUCT(I123,D123))/ValbyACO_MCare[[#This Row],[2021 Member Months (sum of ICC1 + 5)]])</f>
        <v>NA</v>
      </c>
      <c r="J95" s="268" t="str">
        <f>IF(ValbyACO_MCare[[#This Row],[2021 Member Months (sum of ICC1 + 5)]]=0,"NA",(SUMPRODUCT(J109,D109)+SUMPRODUCT(J123,D123))/ValbyACO_MCare[[#This Row],[2021 Member Months (sum of ICC1 + 5)]])</f>
        <v>NA</v>
      </c>
      <c r="K95" s="268" t="str">
        <f>IF(ValbyACO_MCare[[#This Row],[2021 Member Months (sum of ICC1 + 5)]]=0,"NA",(SUMPRODUCT(K109,D109)+SUMPRODUCT(K123,D123))/ValbyACO_MCare[[#This Row],[2021 Member Months (sum of ICC1 + 5)]])</f>
        <v>NA</v>
      </c>
      <c r="L95" s="268" t="str">
        <f>IF(ValbyACO_MCare[[#This Row],[2021 Member Months (sum of ICC1 + 5)]]=0,"NA",(SUMPRODUCT(L109,D109)+SUMPRODUCT(L123,D123))/ValbyACO_MCare[[#This Row],[2021 Member Months (sum of ICC1 + 5)]])</f>
        <v>NA</v>
      </c>
      <c r="M95" s="118" t="str">
        <f>IF(ValbyACO_MCare[[#This Row],[2021 Member Months (sum of ICC1 + 5)]]=0,"NA",(SUMPRODUCT(M109,D109)+SUMPRODUCT(M123,D123))/ValbyACO_MCare[[#This Row],[2021 Member Months (sum of ICC1 + 5)]])</f>
        <v>NA</v>
      </c>
      <c r="N95" s="118" t="str">
        <f>IF(ValbyACO_MCare[[#This Row],[2021 Member Months (sum of ICC1 + 5)]]=0,"NA",(SUMPRODUCT(N109,D109)+SUMPRODUCT(N123,D123))/ValbyACO_MCare[[#This Row],[2021 Member Months (sum of ICC1 + 5)]])</f>
        <v>NA</v>
      </c>
      <c r="O95" s="118" t="str">
        <f>IF(ValbyACO_MCare[[#This Row],[2021 Member Months (sum of ICC1 + 5)]]=0,"NA",(SUMPRODUCT(O109,D109)+SUMPRODUCT(O123,D123))/ValbyACO_MCare[[#This Row],[2021 Member Months (sum of ICC1 + 5)]])</f>
        <v>NA</v>
      </c>
      <c r="P95" s="118" t="str">
        <f>IF(ValbyACO_MCare[[#This Row],[2021 Member Months (sum of ICC1 + 5)]]=0,"NA",(SUMPRODUCT(P109,D109)+SUMPRODUCT(P123,D123))/ValbyACO_MCare[[#This Row],[2021 Member Months (sum of ICC1 + 5)]])</f>
        <v>NA</v>
      </c>
      <c r="Q95" s="119" t="str">
        <f>IF(ValbyACO_MCare[[#This Row],[2021 Member Months (sum of ICC1 + 5)]]=0,"NA",(SUMPRODUCT(Q109,D109)+SUMPRODUCT(Q123,D123))/ValbyACO_MCare[[#This Row],[2021 Member Months (sum of ICC1 + 5)]])</f>
        <v>NA</v>
      </c>
      <c r="R95" s="192">
        <f t="shared" si="11"/>
        <v>0</v>
      </c>
      <c r="S95" s="118" t="str">
        <f>IF(ValbyACO_MCare[[#This Row],[2022 Member Months (sum of ICC1+ 5)]]=0,"NA",(SUMPRODUCT(S109,R109)+SUMPRODUCT(S123,R123))/ValbyACO_MCare[[#This Row],[2022 Member Months (sum of ICC1+ 5)]])</f>
        <v>NA</v>
      </c>
      <c r="T95" s="118" t="str">
        <f>IF(ValbyACO_MCare[[#This Row],[2022 Member Months (sum of ICC1+ 5)]]=0,"NA",(SUMPRODUCT(T109,R109)+SUMPRODUCT(T123,R123))/ValbyACO_MCare[[#This Row],[2022 Member Months (sum of ICC1+ 5)]])</f>
        <v>NA</v>
      </c>
      <c r="U95" s="118" t="str">
        <f>IF(ValbyACO_MCare[[#This Row],[2022 Member Months (sum of ICC1+ 5)]]=0,"NA",(SUMPRODUCT(U109,R109)+SUMPRODUCT(U123,R123))/ValbyACO_MCare[[#This Row],[2022 Member Months (sum of ICC1+ 5)]])</f>
        <v>NA</v>
      </c>
      <c r="V95" s="118" t="str">
        <f>IF(ValbyACO_MCare[[#This Row],[2022 Member Months (sum of ICC1+ 5)]]=0,"NA",(SUMPRODUCT(V109,R109)+SUMPRODUCT(V123,R123))/ValbyACO_MCare[[#This Row],[2022 Member Months (sum of ICC1+ 5)]])</f>
        <v>NA</v>
      </c>
      <c r="W95" s="118" t="str">
        <f>IF(ValbyACO_MCare[[#This Row],[2022 Member Months (sum of ICC1+ 5)]]=0,"NA",(SUMPRODUCT(W109,R109)+SUMPRODUCT(W123,R123))/ValbyACO_MCare[[#This Row],[2022 Member Months (sum of ICC1+ 5)]])</f>
        <v>NA</v>
      </c>
      <c r="X95" s="118" t="str">
        <f>IF(ValbyACO_MCare[[#This Row],[2022 Member Months (sum of ICC1+ 5)]]=0,"NA",(SUMPRODUCT(X109,R109)+SUMPRODUCT(X123,R123))/ValbyACO_MCare[[#This Row],[2022 Member Months (sum of ICC1+ 5)]])</f>
        <v>NA</v>
      </c>
      <c r="Y95" s="118" t="str">
        <f>IF(ValbyACO_MCare[[#This Row],[2022 Member Months (sum of ICC1+ 5)]]=0,"NA",(SUMPRODUCT(Y109,R109)+SUMPRODUCT(Y123,R123))/ValbyACO_MCare[[#This Row],[2022 Member Months (sum of ICC1+ 5)]])</f>
        <v>NA</v>
      </c>
      <c r="Z95" s="118" t="str">
        <f>IF(ValbyACO_MCare[[#This Row],[2022 Member Months (sum of ICC1+ 5)]]=0,"NA",(SUMPRODUCT(Z109,R109)+SUMPRODUCT(Z123,R123))/ValbyACO_MCare[[#This Row],[2022 Member Months (sum of ICC1+ 5)]])</f>
        <v>NA</v>
      </c>
      <c r="AA95" s="118" t="str">
        <f>IF(ValbyACO_MCare[[#This Row],[2022 Member Months (sum of ICC1+ 5)]]=0,"NA",(SUMPRODUCT(AA109,R109)+SUMPRODUCT(AA123,R123))/ValbyACO_MCare[[#This Row],[2022 Member Months (sum of ICC1+ 5)]])</f>
        <v>NA</v>
      </c>
      <c r="AB95" s="118" t="str">
        <f>IF(ValbyACO_MCare[[#This Row],[2022 Member Months (sum of ICC1+ 5)]]=0,"NA",(SUMPRODUCT(AB109,R109)+SUMPRODUCT(AB123,R123))/ValbyACO_MCare[[#This Row],[2022 Member Months (sum of ICC1+ 5)]])</f>
        <v>NA</v>
      </c>
      <c r="AC95" s="118" t="str">
        <f>IF(ValbyACO_MCare[[#This Row],[2022 Member Months (sum of ICC1+ 5)]]=0,"NA",(SUMPRODUCT(AC109,R109)+SUMPRODUCT(AC123,R123))/ValbyACO_MCare[[#This Row],[2022 Member Months (sum of ICC1+ 5)]])</f>
        <v>NA</v>
      </c>
      <c r="AD95" s="118" t="str">
        <f>IF(ValbyACO_MCare[[#This Row],[2022 Member Months (sum of ICC1+ 5)]]=0,"NA",(SUMPRODUCT(AD109,R109)+SUMPRODUCT(AD123,R123))/ValbyACO_MCare[[#This Row],[2022 Member Months (sum of ICC1+ 5)]])</f>
        <v>NA</v>
      </c>
      <c r="AE95" s="119" t="str">
        <f>IF(ValbyACO_MCare[[#This Row],[2022 Member Months (sum of ICC1+ 5)]]=0,"NA",(SUMPRODUCT(AE109,R109)+SUMPRODUCT(AE123,R123))/ValbyACO_MCare[[#This Row],[2022 Member Months (sum of ICC1+ 5)]])</f>
        <v>NA</v>
      </c>
      <c r="AF95" s="160" t="str">
        <f>IFERROR(IF(ValbyACO_MCare[[#This Row],[2021 Member Months (sum of ICC1 + 5)]]=0,"NA",ValbyACO_MCare[[#This Row],[2022 Member Months (sum of ICC1+ 5)]]/ValbyACO_MCare[[#This Row],[2021 Member Months (sum of ICC1 + 5)]]-1),"NA")</f>
        <v>NA</v>
      </c>
      <c r="AG95" s="161" t="str">
        <f>IFERROR(IF(ValbyACO_MCare[[#This Row],[2021 Member Months (sum of ICC1 + 5)]]=0,"NA",ValbyACO_MCare[[#This Row],[2022 Claims: Hospital Inpatient]]/ValbyACO_MCare[[#This Row],[2021 Claims: Hospital Inpatient]]-1),"NA")</f>
        <v>NA</v>
      </c>
      <c r="AH95" s="162" t="str">
        <f>IFERROR(IF(ValbyACO_MCare[[#This Row],[2021 Member Months (sum of ICC1 + 5)]]=0,"NA",ValbyACO_MCare[[#This Row],[2022 Claims: Hospital Outpatient]]/ValbyACO_MCare[[#This Row],[2021 Claims: Hospital Outpatient]]-1),"NA")</f>
        <v>NA</v>
      </c>
      <c r="AI95" s="162" t="str">
        <f>IFERROR(IF(ValbyACO_MCare[[#This Row],[2021 Member Months (sum of ICC1 + 5)]]=0,"NA",ValbyACO_MCare[[#This Row],[2022 Claims: Professional, Primary Care]]/ValbyACO_MCare[[#This Row],[2021 Claims: Professional, Primary Care]]-1),"NA")</f>
        <v>NA</v>
      </c>
      <c r="AJ95" s="162" t="str">
        <f>IFERROR(IF(ValbyACO_MCare[[#This Row],[2021 Member Months (sum of ICC1 + 5)]]=0,"NA",ValbyACO_MCare[[#This Row],[2022 Claims: Professional, Specialty Care]]/ValbyACO_MCare[[#This Row],[2021 Claims: Professional, Specialty Care]]-1),"NA")</f>
        <v>NA</v>
      </c>
      <c r="AK95" s="162" t="str">
        <f>IFERROR(IF(ValbyACO_MCare[[#This Row],[2021 Member Months (sum of ICC1 + 5)]]=0,"NA", ValbyACO_MCare[[#This Row],[2022 Claims: Professional Other]]/ValbyACO_MCare[[#This Row],[2021 Claims: Professional Other]]-1),"NA")</f>
        <v>NA</v>
      </c>
      <c r="AL95" s="162" t="str">
        <f>IFERROR(IF(ValbyACO_MCare[[#This Row],[2021 Member Months (sum of ICC1 + 5)]]=0,"NA",ValbyACO_MCare[[#This Row],[2022 Claims: Pharmacy (Gross of Retail Pharmacy Rebates)]]/ValbyACO_MCare[[#This Row],[2021 Claims: Pharmacy (Gross of  Rebates)]]-1),"NA")</f>
        <v>NA</v>
      </c>
      <c r="AM95" s="162" t="str">
        <f>IFERROR(IF(ValbyACO_MCare[[#This Row],[2021 Member Months (sum of ICC1 + 5)]]=0,"NA",ValbyACO_MCare[[#This Row],[2022 Claims: Long-term Care]]/ValbyACO_MCare[[#This Row],[2021 Claims: Long-term Care]]-1),"NA")</f>
        <v>NA</v>
      </c>
      <c r="AN95" s="162" t="str">
        <f>IFERROR(IF(ValbyACO_MCare[[#This Row],[2021 Member Months (sum of ICC1 + 5)]]=0,"NA",ValbyACO_MCare[[#This Row],[2022 Claims: Other]]/ValbyACO_MCare[[#This Row],[2021 Claims: Other]]-1),"NA")</f>
        <v>NA</v>
      </c>
      <c r="AO95" s="163" t="str">
        <f>IFERROR(IF(ValbyACO_MCare[[#This Row],[2021 Member Months (sum of ICC1 + 5)]]=0,"NA",ValbyACO_MCare[[#This Row],[2022 TOTAL Non-Truncated Claims Expenses]]/ValbyACO_MCare[[#This Row],[2021 TOTAL Non-Truncated Claims Expenses]]-1),"NA")</f>
        <v>NA</v>
      </c>
      <c r="AP95" s="163" t="str">
        <f>IFERROR(IF(ValbyACO_MCare[[#This Row],[2021 Member Months (sum of ICC1 + 5)]]=0,"NA",ValbyACO_MCare[[#This Row],[2022 TOTAL Truncated Claims Expenses]]/ValbyACO_MCare[[#This Row],[2021 TOTAL Truncated Claims Expenses]]-1),"NA")</f>
        <v>NA</v>
      </c>
      <c r="AQ95" s="163" t="str">
        <f>IFERROR(IF(ValbyACO_MCare[[#This Row],[2021 Member Months (sum of ICC1 + 5)]]=0,"NA",ValbyACO_MCare[[#This Row],[2022 TOTAL Non-Claims Expenses]]/ValbyACO_MCare[[#This Row],[2021 TOTAL Non-Claims Expenses]]-1),"NA")</f>
        <v>NA</v>
      </c>
      <c r="AR95" s="163" t="str">
        <f>IFERROR(IF(ValbyACO_MCare[[#This Row],[2021 Member Months (sum of ICC1 + 5)]]=0,"NA",ValbyACO_MCare[[#This Row],[2022 TOTAL Non-Truncated Total Expenses]]/ValbyACO_MCare[[#This Row],[2021 TOTAL Non-Truncated Total Expenses]]-1),"NA")</f>
        <v>NA</v>
      </c>
      <c r="AS95" s="163" t="str">
        <f>IFERROR(IF(ValbyACO_MCare[[#This Row],[2021 Member Months (sum of ICC1 + 5)]]=0,"NA",ValbyACO_MCare[[#This Row],[2022 TOTAL Truncated Total Expenses]]/ValbyACO_MCare[[#This Row],[2021 TOTAL Truncated Total Expenses]]-1),"NA")</f>
        <v>NA</v>
      </c>
    </row>
    <row r="96" spans="1:45" x14ac:dyDescent="0.35">
      <c r="B96" s="250">
        <v>105</v>
      </c>
      <c r="C96" s="131" t="s">
        <v>169</v>
      </c>
      <c r="D96" s="192">
        <f t="shared" si="10"/>
        <v>0</v>
      </c>
      <c r="E96" s="268" t="str">
        <f>IF(ValbyACO_MCare[[#This Row],[2021 Member Months (sum of ICC1 + 5)]]=0,"NA",(SUMPRODUCT(E110,D110)+SUMPRODUCT(E124,D124))/ValbyACO_MCare[[#This Row],[2021 Member Months (sum of ICC1 + 5)]])</f>
        <v>NA</v>
      </c>
      <c r="F96" s="268" t="str">
        <f>IF(ValbyACO_MCare[[#This Row],[2021 Member Months (sum of ICC1 + 5)]]=0,"NA",(SUMPRODUCT(F110,D110)+SUMPRODUCT(F124,D124))/ValbyACO_MCare[[#This Row],[2021 Member Months (sum of ICC1 + 5)]])</f>
        <v>NA</v>
      </c>
      <c r="G96" s="268" t="str">
        <f>IF(ValbyACO_MCare[[#This Row],[2021 Member Months (sum of ICC1 + 5)]]=0,"NA",(SUMPRODUCT(G110,D110)+SUMPRODUCT(G124,D124))/ValbyACO_MCare[[#This Row],[2021 Member Months (sum of ICC1 + 5)]])</f>
        <v>NA</v>
      </c>
      <c r="H96" s="268" t="str">
        <f>IF(ValbyACO_MCare[[#This Row],[2021 Member Months (sum of ICC1 + 5)]]=0,"NA",(SUMPRODUCT(H110,D110)+SUMPRODUCT(H124,D124))/ValbyACO_MCare[[#This Row],[2021 Member Months (sum of ICC1 + 5)]])</f>
        <v>NA</v>
      </c>
      <c r="I96" s="268" t="str">
        <f>IF(ValbyACO_MCare[[#This Row],[2021 Member Months (sum of ICC1 + 5)]]=0,"NA",(SUMPRODUCT(I110,D110)+SUMPRODUCT(I124,D124))/ValbyACO_MCare[[#This Row],[2021 Member Months (sum of ICC1 + 5)]])</f>
        <v>NA</v>
      </c>
      <c r="J96" s="268" t="str">
        <f>IF(ValbyACO_MCare[[#This Row],[2021 Member Months (sum of ICC1 + 5)]]=0,"NA",(SUMPRODUCT(J110,D110)+SUMPRODUCT(J124,D124))/ValbyACO_MCare[[#This Row],[2021 Member Months (sum of ICC1 + 5)]])</f>
        <v>NA</v>
      </c>
      <c r="K96" s="268" t="str">
        <f>IF(ValbyACO_MCare[[#This Row],[2021 Member Months (sum of ICC1 + 5)]]=0,"NA",(SUMPRODUCT(K110,D110)+SUMPRODUCT(K124,D124))/ValbyACO_MCare[[#This Row],[2021 Member Months (sum of ICC1 + 5)]])</f>
        <v>NA</v>
      </c>
      <c r="L96" s="268" t="str">
        <f>IF(ValbyACO_MCare[[#This Row],[2021 Member Months (sum of ICC1 + 5)]]=0,"NA",(SUMPRODUCT(L110,D110)+SUMPRODUCT(L124,D124))/ValbyACO_MCare[[#This Row],[2021 Member Months (sum of ICC1 + 5)]])</f>
        <v>NA</v>
      </c>
      <c r="M96" s="118" t="str">
        <f>IF(ValbyACO_MCare[[#This Row],[2021 Member Months (sum of ICC1 + 5)]]=0,"NA",(SUMPRODUCT(M110,D110)+SUMPRODUCT(M124,D124))/ValbyACO_MCare[[#This Row],[2021 Member Months (sum of ICC1 + 5)]])</f>
        <v>NA</v>
      </c>
      <c r="N96" s="118" t="str">
        <f>IF(ValbyACO_MCare[[#This Row],[2021 Member Months (sum of ICC1 + 5)]]=0,"NA",(SUMPRODUCT(N110,D110)+SUMPRODUCT(N124,D124))/ValbyACO_MCare[[#This Row],[2021 Member Months (sum of ICC1 + 5)]])</f>
        <v>NA</v>
      </c>
      <c r="O96" s="118" t="str">
        <f>IF(ValbyACO_MCare[[#This Row],[2021 Member Months (sum of ICC1 + 5)]]=0,"NA",(SUMPRODUCT(O110,D110)+SUMPRODUCT(O124,D124))/ValbyACO_MCare[[#This Row],[2021 Member Months (sum of ICC1 + 5)]])</f>
        <v>NA</v>
      </c>
      <c r="P96" s="118" t="str">
        <f>IF(ValbyACO_MCare[[#This Row],[2021 Member Months (sum of ICC1 + 5)]]=0,"NA",(SUMPRODUCT(P110,D110)+SUMPRODUCT(P124,D124))/ValbyACO_MCare[[#This Row],[2021 Member Months (sum of ICC1 + 5)]])</f>
        <v>NA</v>
      </c>
      <c r="Q96" s="119" t="str">
        <f>IF(ValbyACO_MCare[[#This Row],[2021 Member Months (sum of ICC1 + 5)]]=0,"NA",(SUMPRODUCT(Q110,D110)+SUMPRODUCT(Q124,D124))/ValbyACO_MCare[[#This Row],[2021 Member Months (sum of ICC1 + 5)]])</f>
        <v>NA</v>
      </c>
      <c r="R96" s="192">
        <f t="shared" si="11"/>
        <v>0</v>
      </c>
      <c r="S96" s="118" t="str">
        <f>IF(ValbyACO_MCare[[#This Row],[2022 Member Months (sum of ICC1+ 5)]]=0,"NA",(SUMPRODUCT(S110,R110)+SUMPRODUCT(S124,R124))/ValbyACO_MCare[[#This Row],[2022 Member Months (sum of ICC1+ 5)]])</f>
        <v>NA</v>
      </c>
      <c r="T96" s="118" t="str">
        <f>IF(ValbyACO_MCare[[#This Row],[2022 Member Months (sum of ICC1+ 5)]]=0,"NA",(SUMPRODUCT(T110,R110)+SUMPRODUCT(T124,R124))/ValbyACO_MCare[[#This Row],[2022 Member Months (sum of ICC1+ 5)]])</f>
        <v>NA</v>
      </c>
      <c r="U96" s="118" t="str">
        <f>IF(ValbyACO_MCare[[#This Row],[2022 Member Months (sum of ICC1+ 5)]]=0,"NA",(SUMPRODUCT(U110,R110)+SUMPRODUCT(U124,R124))/ValbyACO_MCare[[#This Row],[2022 Member Months (sum of ICC1+ 5)]])</f>
        <v>NA</v>
      </c>
      <c r="V96" s="118" t="str">
        <f>IF(ValbyACO_MCare[[#This Row],[2022 Member Months (sum of ICC1+ 5)]]=0,"NA",(SUMPRODUCT(V110,R110)+SUMPRODUCT(V124,R124))/ValbyACO_MCare[[#This Row],[2022 Member Months (sum of ICC1+ 5)]])</f>
        <v>NA</v>
      </c>
      <c r="W96" s="118" t="str">
        <f>IF(ValbyACO_MCare[[#This Row],[2022 Member Months (sum of ICC1+ 5)]]=0,"NA",(SUMPRODUCT(W110,R110)+SUMPRODUCT(W124,R124))/ValbyACO_MCare[[#This Row],[2022 Member Months (sum of ICC1+ 5)]])</f>
        <v>NA</v>
      </c>
      <c r="X96" s="118" t="str">
        <f>IF(ValbyACO_MCare[[#This Row],[2022 Member Months (sum of ICC1+ 5)]]=0,"NA",(SUMPRODUCT(X110,R110)+SUMPRODUCT(X124,R124))/ValbyACO_MCare[[#This Row],[2022 Member Months (sum of ICC1+ 5)]])</f>
        <v>NA</v>
      </c>
      <c r="Y96" s="118" t="str">
        <f>IF(ValbyACO_MCare[[#This Row],[2022 Member Months (sum of ICC1+ 5)]]=0,"NA",(SUMPRODUCT(Y110,R110)+SUMPRODUCT(Y124,R124))/ValbyACO_MCare[[#This Row],[2022 Member Months (sum of ICC1+ 5)]])</f>
        <v>NA</v>
      </c>
      <c r="Z96" s="118" t="str">
        <f>IF(ValbyACO_MCare[[#This Row],[2022 Member Months (sum of ICC1+ 5)]]=0,"NA",(SUMPRODUCT(Z110,R110)+SUMPRODUCT(Z124,R124))/ValbyACO_MCare[[#This Row],[2022 Member Months (sum of ICC1+ 5)]])</f>
        <v>NA</v>
      </c>
      <c r="AA96" s="118" t="str">
        <f>IF(ValbyACO_MCare[[#This Row],[2022 Member Months (sum of ICC1+ 5)]]=0,"NA",(SUMPRODUCT(AA110,R110)+SUMPRODUCT(AA124,R124))/ValbyACO_MCare[[#This Row],[2022 Member Months (sum of ICC1+ 5)]])</f>
        <v>NA</v>
      </c>
      <c r="AB96" s="118" t="str">
        <f>IF(ValbyACO_MCare[[#This Row],[2022 Member Months (sum of ICC1+ 5)]]=0,"NA",(SUMPRODUCT(AB110,R110)+SUMPRODUCT(AB124,R124))/ValbyACO_MCare[[#This Row],[2022 Member Months (sum of ICC1+ 5)]])</f>
        <v>NA</v>
      </c>
      <c r="AC96" s="118" t="str">
        <f>IF(ValbyACO_MCare[[#This Row],[2022 Member Months (sum of ICC1+ 5)]]=0,"NA",(SUMPRODUCT(AC110,R110)+SUMPRODUCT(AC124,R124))/ValbyACO_MCare[[#This Row],[2022 Member Months (sum of ICC1+ 5)]])</f>
        <v>NA</v>
      </c>
      <c r="AD96" s="118" t="str">
        <f>IF(ValbyACO_MCare[[#This Row],[2022 Member Months (sum of ICC1+ 5)]]=0,"NA",(SUMPRODUCT(AD110,R110)+SUMPRODUCT(AD124,R124))/ValbyACO_MCare[[#This Row],[2022 Member Months (sum of ICC1+ 5)]])</f>
        <v>NA</v>
      </c>
      <c r="AE96" s="119" t="str">
        <f>IF(ValbyACO_MCare[[#This Row],[2022 Member Months (sum of ICC1+ 5)]]=0,"NA",(SUMPRODUCT(AE110,R110)+SUMPRODUCT(AE124,R124))/ValbyACO_MCare[[#This Row],[2022 Member Months (sum of ICC1+ 5)]])</f>
        <v>NA</v>
      </c>
      <c r="AF96" s="160" t="str">
        <f>IFERROR(IF(ValbyACO_MCare[[#This Row],[2021 Member Months (sum of ICC1 + 5)]]=0,"NA",ValbyACO_MCare[[#This Row],[2022 Member Months (sum of ICC1+ 5)]]/ValbyACO_MCare[[#This Row],[2021 Member Months (sum of ICC1 + 5)]]-1),"NA")</f>
        <v>NA</v>
      </c>
      <c r="AG96" s="161" t="str">
        <f>IFERROR(IF(ValbyACO_MCare[[#This Row],[2021 Member Months (sum of ICC1 + 5)]]=0,"NA",ValbyACO_MCare[[#This Row],[2022 Claims: Hospital Inpatient]]/ValbyACO_MCare[[#This Row],[2021 Claims: Hospital Inpatient]]-1),"NA")</f>
        <v>NA</v>
      </c>
      <c r="AH96" s="162" t="str">
        <f>IFERROR(IF(ValbyACO_MCare[[#This Row],[2021 Member Months (sum of ICC1 + 5)]]=0,"NA",ValbyACO_MCare[[#This Row],[2022 Claims: Hospital Outpatient]]/ValbyACO_MCare[[#This Row],[2021 Claims: Hospital Outpatient]]-1),"NA")</f>
        <v>NA</v>
      </c>
      <c r="AI96" s="162" t="str">
        <f>IFERROR(IF(ValbyACO_MCare[[#This Row],[2021 Member Months (sum of ICC1 + 5)]]=0,"NA",ValbyACO_MCare[[#This Row],[2022 Claims: Professional, Primary Care]]/ValbyACO_MCare[[#This Row],[2021 Claims: Professional, Primary Care]]-1),"NA")</f>
        <v>NA</v>
      </c>
      <c r="AJ96" s="162" t="str">
        <f>IFERROR(IF(ValbyACO_MCare[[#This Row],[2021 Member Months (sum of ICC1 + 5)]]=0,"NA",ValbyACO_MCare[[#This Row],[2022 Claims: Professional, Specialty Care]]/ValbyACO_MCare[[#This Row],[2021 Claims: Professional, Specialty Care]]-1),"NA")</f>
        <v>NA</v>
      </c>
      <c r="AK96" s="162" t="str">
        <f>IFERROR(IF(ValbyACO_MCare[[#This Row],[2021 Member Months (sum of ICC1 + 5)]]=0,"NA", ValbyACO_MCare[[#This Row],[2022 Claims: Professional Other]]/ValbyACO_MCare[[#This Row],[2021 Claims: Professional Other]]-1),"NA")</f>
        <v>NA</v>
      </c>
      <c r="AL96" s="162" t="str">
        <f>IFERROR(IF(ValbyACO_MCare[[#This Row],[2021 Member Months (sum of ICC1 + 5)]]=0,"NA",ValbyACO_MCare[[#This Row],[2022 Claims: Pharmacy (Gross of Retail Pharmacy Rebates)]]/ValbyACO_MCare[[#This Row],[2021 Claims: Pharmacy (Gross of  Rebates)]]-1),"NA")</f>
        <v>NA</v>
      </c>
      <c r="AM96" s="162" t="str">
        <f>IFERROR(IF(ValbyACO_MCare[[#This Row],[2021 Member Months (sum of ICC1 + 5)]]=0,"NA",ValbyACO_MCare[[#This Row],[2022 Claims: Long-term Care]]/ValbyACO_MCare[[#This Row],[2021 Claims: Long-term Care]]-1),"NA")</f>
        <v>NA</v>
      </c>
      <c r="AN96" s="162" t="str">
        <f>IFERROR(IF(ValbyACO_MCare[[#This Row],[2021 Member Months (sum of ICC1 + 5)]]=0,"NA",ValbyACO_MCare[[#This Row],[2022 Claims: Other]]/ValbyACO_MCare[[#This Row],[2021 Claims: Other]]-1),"NA")</f>
        <v>NA</v>
      </c>
      <c r="AO96" s="163" t="str">
        <f>IFERROR(IF(ValbyACO_MCare[[#This Row],[2021 Member Months (sum of ICC1 + 5)]]=0,"NA",ValbyACO_MCare[[#This Row],[2022 TOTAL Non-Truncated Claims Expenses]]/ValbyACO_MCare[[#This Row],[2021 TOTAL Non-Truncated Claims Expenses]]-1),"NA")</f>
        <v>NA</v>
      </c>
      <c r="AP96" s="163" t="str">
        <f>IFERROR(IF(ValbyACO_MCare[[#This Row],[2021 Member Months (sum of ICC1 + 5)]]=0,"NA",ValbyACO_MCare[[#This Row],[2022 TOTAL Truncated Claims Expenses]]/ValbyACO_MCare[[#This Row],[2021 TOTAL Truncated Claims Expenses]]-1),"NA")</f>
        <v>NA</v>
      </c>
      <c r="AQ96" s="163" t="str">
        <f>IFERROR(IF(ValbyACO_MCare[[#This Row],[2021 Member Months (sum of ICC1 + 5)]]=0,"NA",ValbyACO_MCare[[#This Row],[2022 TOTAL Non-Claims Expenses]]/ValbyACO_MCare[[#This Row],[2021 TOTAL Non-Claims Expenses]]-1),"NA")</f>
        <v>NA</v>
      </c>
      <c r="AR96" s="163" t="str">
        <f>IFERROR(IF(ValbyACO_MCare[[#This Row],[2021 Member Months (sum of ICC1 + 5)]]=0,"NA",ValbyACO_MCare[[#This Row],[2022 TOTAL Non-Truncated Total Expenses]]/ValbyACO_MCare[[#This Row],[2021 TOTAL Non-Truncated Total Expenses]]-1),"NA")</f>
        <v>NA</v>
      </c>
      <c r="AS96" s="163" t="str">
        <f>IFERROR(IF(ValbyACO_MCare[[#This Row],[2021 Member Months (sum of ICC1 + 5)]]=0,"NA",ValbyACO_MCare[[#This Row],[2022 TOTAL Truncated Total Expenses]]/ValbyACO_MCare[[#This Row],[2021 TOTAL Truncated Total Expenses]]-1),"NA")</f>
        <v>NA</v>
      </c>
    </row>
    <row r="97" spans="1:45" x14ac:dyDescent="0.35">
      <c r="B97" s="250">
        <v>106</v>
      </c>
      <c r="C97" s="131" t="s">
        <v>170</v>
      </c>
      <c r="D97" s="192">
        <f t="shared" si="10"/>
        <v>0</v>
      </c>
      <c r="E97" s="268" t="str">
        <f>IF(ValbyACO_MCare[[#This Row],[2021 Member Months (sum of ICC1 + 5)]]=0,"NA",(SUMPRODUCT(E111,D111)+SUMPRODUCT(E125,D125))/ValbyACO_MCare[[#This Row],[2021 Member Months (sum of ICC1 + 5)]])</f>
        <v>NA</v>
      </c>
      <c r="F97" s="268" t="str">
        <f>IF(ValbyACO_MCare[[#This Row],[2021 Member Months (sum of ICC1 + 5)]]=0,"NA",(SUMPRODUCT(F111,D111)+SUMPRODUCT(F125,D125))/ValbyACO_MCare[[#This Row],[2021 Member Months (sum of ICC1 + 5)]])</f>
        <v>NA</v>
      </c>
      <c r="G97" s="268" t="str">
        <f>IF(ValbyACO_MCare[[#This Row],[2021 Member Months (sum of ICC1 + 5)]]=0,"NA",(SUMPRODUCT(G111,D111)+SUMPRODUCT(G125,D125))/ValbyACO_MCare[[#This Row],[2021 Member Months (sum of ICC1 + 5)]])</f>
        <v>NA</v>
      </c>
      <c r="H97" s="268" t="str">
        <f>IF(ValbyACO_MCare[[#This Row],[2021 Member Months (sum of ICC1 + 5)]]=0,"NA",(SUMPRODUCT(H111,D111)+SUMPRODUCT(H125,D125))/ValbyACO_MCare[[#This Row],[2021 Member Months (sum of ICC1 + 5)]])</f>
        <v>NA</v>
      </c>
      <c r="I97" s="268" t="str">
        <f>IF(ValbyACO_MCare[[#This Row],[2021 Member Months (sum of ICC1 + 5)]]=0,"NA",(SUMPRODUCT(I111,D111)+SUMPRODUCT(I125,D125))/ValbyACO_MCare[[#This Row],[2021 Member Months (sum of ICC1 + 5)]])</f>
        <v>NA</v>
      </c>
      <c r="J97" s="268" t="str">
        <f>IF(ValbyACO_MCare[[#This Row],[2021 Member Months (sum of ICC1 + 5)]]=0,"NA",(SUMPRODUCT(J111,D111)+SUMPRODUCT(J125,D125))/ValbyACO_MCare[[#This Row],[2021 Member Months (sum of ICC1 + 5)]])</f>
        <v>NA</v>
      </c>
      <c r="K97" s="268" t="str">
        <f>IF(ValbyACO_MCare[[#This Row],[2021 Member Months (sum of ICC1 + 5)]]=0,"NA",(SUMPRODUCT(K111,D111)+SUMPRODUCT(K125,D125))/ValbyACO_MCare[[#This Row],[2021 Member Months (sum of ICC1 + 5)]])</f>
        <v>NA</v>
      </c>
      <c r="L97" s="268" t="str">
        <f>IF(ValbyACO_MCare[[#This Row],[2021 Member Months (sum of ICC1 + 5)]]=0,"NA",(SUMPRODUCT(L111,D111)+SUMPRODUCT(L125,D125))/ValbyACO_MCare[[#This Row],[2021 Member Months (sum of ICC1 + 5)]])</f>
        <v>NA</v>
      </c>
      <c r="M97" s="118" t="str">
        <f>IF(ValbyACO_MCare[[#This Row],[2021 Member Months (sum of ICC1 + 5)]]=0,"NA",(SUMPRODUCT(M111,D111)+SUMPRODUCT(M125,D125))/ValbyACO_MCare[[#This Row],[2021 Member Months (sum of ICC1 + 5)]])</f>
        <v>NA</v>
      </c>
      <c r="N97" s="118" t="str">
        <f>IF(ValbyACO_MCare[[#This Row],[2021 Member Months (sum of ICC1 + 5)]]=0,"NA",(SUMPRODUCT(N111,D111)+SUMPRODUCT(N125,D125))/ValbyACO_MCare[[#This Row],[2021 Member Months (sum of ICC1 + 5)]])</f>
        <v>NA</v>
      </c>
      <c r="O97" s="118" t="str">
        <f>IF(ValbyACO_MCare[[#This Row],[2021 Member Months (sum of ICC1 + 5)]]=0,"NA",(SUMPRODUCT(O111,D111)+SUMPRODUCT(O125,D125))/ValbyACO_MCare[[#This Row],[2021 Member Months (sum of ICC1 + 5)]])</f>
        <v>NA</v>
      </c>
      <c r="P97" s="118" t="str">
        <f>IF(ValbyACO_MCare[[#This Row],[2021 Member Months (sum of ICC1 + 5)]]=0,"NA",(SUMPRODUCT(P111,D111)+SUMPRODUCT(P125,D125))/ValbyACO_MCare[[#This Row],[2021 Member Months (sum of ICC1 + 5)]])</f>
        <v>NA</v>
      </c>
      <c r="Q97" s="119" t="str">
        <f>IF(ValbyACO_MCare[[#This Row],[2021 Member Months (sum of ICC1 + 5)]]=0,"NA",(SUMPRODUCT(Q111,D111)+SUMPRODUCT(Q125,D125))/ValbyACO_MCare[[#This Row],[2021 Member Months (sum of ICC1 + 5)]])</f>
        <v>NA</v>
      </c>
      <c r="R97" s="192">
        <f t="shared" si="11"/>
        <v>0</v>
      </c>
      <c r="S97" s="118" t="str">
        <f>IF(ValbyACO_MCare[[#This Row],[2022 Member Months (sum of ICC1+ 5)]]=0,"NA",(SUMPRODUCT(S111,R111)+SUMPRODUCT(S125,R125))/ValbyACO_MCare[[#This Row],[2022 Member Months (sum of ICC1+ 5)]])</f>
        <v>NA</v>
      </c>
      <c r="T97" s="118" t="str">
        <f>IF(ValbyACO_MCare[[#This Row],[2022 Member Months (sum of ICC1+ 5)]]=0,"NA",(SUMPRODUCT(T111,R111)+SUMPRODUCT(T125,R125))/ValbyACO_MCare[[#This Row],[2022 Member Months (sum of ICC1+ 5)]])</f>
        <v>NA</v>
      </c>
      <c r="U97" s="118" t="str">
        <f>IF(ValbyACO_MCare[[#This Row],[2022 Member Months (sum of ICC1+ 5)]]=0,"NA",(SUMPRODUCT(U111,R111)+SUMPRODUCT(U125,R125))/ValbyACO_MCare[[#This Row],[2022 Member Months (sum of ICC1+ 5)]])</f>
        <v>NA</v>
      </c>
      <c r="V97" s="118" t="str">
        <f>IF(ValbyACO_MCare[[#This Row],[2022 Member Months (sum of ICC1+ 5)]]=0,"NA",(SUMPRODUCT(V111,R111)+SUMPRODUCT(V125,R125))/ValbyACO_MCare[[#This Row],[2022 Member Months (sum of ICC1+ 5)]])</f>
        <v>NA</v>
      </c>
      <c r="W97" s="118" t="str">
        <f>IF(ValbyACO_MCare[[#This Row],[2022 Member Months (sum of ICC1+ 5)]]=0,"NA",(SUMPRODUCT(W111,R111)+SUMPRODUCT(W125,R125))/ValbyACO_MCare[[#This Row],[2022 Member Months (sum of ICC1+ 5)]])</f>
        <v>NA</v>
      </c>
      <c r="X97" s="118" t="str">
        <f>IF(ValbyACO_MCare[[#This Row],[2022 Member Months (sum of ICC1+ 5)]]=0,"NA",(SUMPRODUCT(X111,R111)+SUMPRODUCT(X125,R125))/ValbyACO_MCare[[#This Row],[2022 Member Months (sum of ICC1+ 5)]])</f>
        <v>NA</v>
      </c>
      <c r="Y97" s="118" t="str">
        <f>IF(ValbyACO_MCare[[#This Row],[2022 Member Months (sum of ICC1+ 5)]]=0,"NA",(SUMPRODUCT(Y111,R111)+SUMPRODUCT(Y125,R125))/ValbyACO_MCare[[#This Row],[2022 Member Months (sum of ICC1+ 5)]])</f>
        <v>NA</v>
      </c>
      <c r="Z97" s="118" t="str">
        <f>IF(ValbyACO_MCare[[#This Row],[2022 Member Months (sum of ICC1+ 5)]]=0,"NA",(SUMPRODUCT(Z111,R111)+SUMPRODUCT(Z125,R125))/ValbyACO_MCare[[#This Row],[2022 Member Months (sum of ICC1+ 5)]])</f>
        <v>NA</v>
      </c>
      <c r="AA97" s="118" t="str">
        <f>IF(ValbyACO_MCare[[#This Row],[2022 Member Months (sum of ICC1+ 5)]]=0,"NA",(SUMPRODUCT(AA111,R111)+SUMPRODUCT(AA125,R125))/ValbyACO_MCare[[#This Row],[2022 Member Months (sum of ICC1+ 5)]])</f>
        <v>NA</v>
      </c>
      <c r="AB97" s="118" t="str">
        <f>IF(ValbyACO_MCare[[#This Row],[2022 Member Months (sum of ICC1+ 5)]]=0,"NA",(SUMPRODUCT(AB111,R111)+SUMPRODUCT(AB125,R125))/ValbyACO_MCare[[#This Row],[2022 Member Months (sum of ICC1+ 5)]])</f>
        <v>NA</v>
      </c>
      <c r="AC97" s="118" t="str">
        <f>IF(ValbyACO_MCare[[#This Row],[2022 Member Months (sum of ICC1+ 5)]]=0,"NA",(SUMPRODUCT(AC111,R111)+SUMPRODUCT(AC125,R125))/ValbyACO_MCare[[#This Row],[2022 Member Months (sum of ICC1+ 5)]])</f>
        <v>NA</v>
      </c>
      <c r="AD97" s="118" t="str">
        <f>IF(ValbyACO_MCare[[#This Row],[2022 Member Months (sum of ICC1+ 5)]]=0,"NA",(SUMPRODUCT(AD111,R111)+SUMPRODUCT(AD125,R125))/ValbyACO_MCare[[#This Row],[2022 Member Months (sum of ICC1+ 5)]])</f>
        <v>NA</v>
      </c>
      <c r="AE97" s="119" t="str">
        <f>IF(ValbyACO_MCare[[#This Row],[2022 Member Months (sum of ICC1+ 5)]]=0,"NA",(SUMPRODUCT(AE111,R111)+SUMPRODUCT(AE125,R125))/ValbyACO_MCare[[#This Row],[2022 Member Months (sum of ICC1+ 5)]])</f>
        <v>NA</v>
      </c>
      <c r="AF97" s="160" t="str">
        <f>IFERROR(IF(ValbyACO_MCare[[#This Row],[2021 Member Months (sum of ICC1 + 5)]]=0,"NA",ValbyACO_MCare[[#This Row],[2022 Member Months (sum of ICC1+ 5)]]/ValbyACO_MCare[[#This Row],[2021 Member Months (sum of ICC1 + 5)]]-1),"NA")</f>
        <v>NA</v>
      </c>
      <c r="AG97" s="161" t="str">
        <f>IFERROR(IF(ValbyACO_MCare[[#This Row],[2021 Member Months (sum of ICC1 + 5)]]=0,"NA",ValbyACO_MCare[[#This Row],[2022 Claims: Hospital Inpatient]]/ValbyACO_MCare[[#This Row],[2021 Claims: Hospital Inpatient]]-1),"NA")</f>
        <v>NA</v>
      </c>
      <c r="AH97" s="162" t="str">
        <f>IFERROR(IF(ValbyACO_MCare[[#This Row],[2021 Member Months (sum of ICC1 + 5)]]=0,"NA",ValbyACO_MCare[[#This Row],[2022 Claims: Hospital Outpatient]]/ValbyACO_MCare[[#This Row],[2021 Claims: Hospital Outpatient]]-1),"NA")</f>
        <v>NA</v>
      </c>
      <c r="AI97" s="162" t="str">
        <f>IFERROR(IF(ValbyACO_MCare[[#This Row],[2021 Member Months (sum of ICC1 + 5)]]=0,"NA",ValbyACO_MCare[[#This Row],[2022 Claims: Professional, Primary Care]]/ValbyACO_MCare[[#This Row],[2021 Claims: Professional, Primary Care]]-1),"NA")</f>
        <v>NA</v>
      </c>
      <c r="AJ97" s="162" t="str">
        <f>IFERROR(IF(ValbyACO_MCare[[#This Row],[2021 Member Months (sum of ICC1 + 5)]]=0,"NA",ValbyACO_MCare[[#This Row],[2022 Claims: Professional, Specialty Care]]/ValbyACO_MCare[[#This Row],[2021 Claims: Professional, Specialty Care]]-1),"NA")</f>
        <v>NA</v>
      </c>
      <c r="AK97" s="162" t="str">
        <f>IFERROR(IF(ValbyACO_MCare[[#This Row],[2021 Member Months (sum of ICC1 + 5)]]=0,"NA", ValbyACO_MCare[[#This Row],[2022 Claims: Professional Other]]/ValbyACO_MCare[[#This Row],[2021 Claims: Professional Other]]-1),"NA")</f>
        <v>NA</v>
      </c>
      <c r="AL97" s="162" t="str">
        <f>IFERROR(IF(ValbyACO_MCare[[#This Row],[2021 Member Months (sum of ICC1 + 5)]]=0,"NA",ValbyACO_MCare[[#This Row],[2022 Claims: Pharmacy (Gross of Retail Pharmacy Rebates)]]/ValbyACO_MCare[[#This Row],[2021 Claims: Pharmacy (Gross of  Rebates)]]-1),"NA")</f>
        <v>NA</v>
      </c>
      <c r="AM97" s="162" t="str">
        <f>IFERROR(IF(ValbyACO_MCare[[#This Row],[2021 Member Months (sum of ICC1 + 5)]]=0,"NA",ValbyACO_MCare[[#This Row],[2022 Claims: Long-term Care]]/ValbyACO_MCare[[#This Row],[2021 Claims: Long-term Care]]-1),"NA")</f>
        <v>NA</v>
      </c>
      <c r="AN97" s="162" t="str">
        <f>IFERROR(IF(ValbyACO_MCare[[#This Row],[2021 Member Months (sum of ICC1 + 5)]]=0,"NA",ValbyACO_MCare[[#This Row],[2022 Claims: Other]]/ValbyACO_MCare[[#This Row],[2021 Claims: Other]]-1),"NA")</f>
        <v>NA</v>
      </c>
      <c r="AO97" s="163" t="str">
        <f>IFERROR(IF(ValbyACO_MCare[[#This Row],[2021 Member Months (sum of ICC1 + 5)]]=0,"NA",ValbyACO_MCare[[#This Row],[2022 TOTAL Non-Truncated Claims Expenses]]/ValbyACO_MCare[[#This Row],[2021 TOTAL Non-Truncated Claims Expenses]]-1),"NA")</f>
        <v>NA</v>
      </c>
      <c r="AP97" s="163" t="str">
        <f>IFERROR(IF(ValbyACO_MCare[[#This Row],[2021 Member Months (sum of ICC1 + 5)]]=0,"NA",ValbyACO_MCare[[#This Row],[2022 TOTAL Truncated Claims Expenses]]/ValbyACO_MCare[[#This Row],[2021 TOTAL Truncated Claims Expenses]]-1),"NA")</f>
        <v>NA</v>
      </c>
      <c r="AQ97" s="163" t="str">
        <f>IFERROR(IF(ValbyACO_MCare[[#This Row],[2021 Member Months (sum of ICC1 + 5)]]=0,"NA",ValbyACO_MCare[[#This Row],[2022 TOTAL Non-Claims Expenses]]/ValbyACO_MCare[[#This Row],[2021 TOTAL Non-Claims Expenses]]-1),"NA")</f>
        <v>NA</v>
      </c>
      <c r="AR97" s="163" t="str">
        <f>IFERROR(IF(ValbyACO_MCare[[#This Row],[2021 Member Months (sum of ICC1 + 5)]]=0,"NA",ValbyACO_MCare[[#This Row],[2022 TOTAL Non-Truncated Total Expenses]]/ValbyACO_MCare[[#This Row],[2021 TOTAL Non-Truncated Total Expenses]]-1),"NA")</f>
        <v>NA</v>
      </c>
      <c r="AS97" s="163" t="str">
        <f>IFERROR(IF(ValbyACO_MCare[[#This Row],[2021 Member Months (sum of ICC1 + 5)]]=0,"NA",ValbyACO_MCare[[#This Row],[2022 TOTAL Truncated Total Expenses]]/ValbyACO_MCare[[#This Row],[2021 TOTAL Truncated Total Expenses]]-1),"NA")</f>
        <v>NA</v>
      </c>
    </row>
    <row r="98" spans="1:45" x14ac:dyDescent="0.35">
      <c r="B98" s="250">
        <v>107</v>
      </c>
      <c r="C98" s="131" t="s">
        <v>171</v>
      </c>
      <c r="D98" s="192">
        <f t="shared" si="10"/>
        <v>0</v>
      </c>
      <c r="E98" s="268" t="str">
        <f>IF(ValbyACO_MCare[[#This Row],[2021 Member Months (sum of ICC1 + 5)]]=0,"NA",(SUMPRODUCT(E112,D112)+SUMPRODUCT(E126,D126))/ValbyACO_MCare[[#This Row],[2021 Member Months (sum of ICC1 + 5)]])</f>
        <v>NA</v>
      </c>
      <c r="F98" s="268" t="str">
        <f>IF(ValbyACO_MCare[[#This Row],[2021 Member Months (sum of ICC1 + 5)]]=0,"NA",(SUMPRODUCT(F112,D112)+SUMPRODUCT(F126,D126))/ValbyACO_MCare[[#This Row],[2021 Member Months (sum of ICC1 + 5)]])</f>
        <v>NA</v>
      </c>
      <c r="G98" s="268" t="str">
        <f>IF(ValbyACO_MCare[[#This Row],[2021 Member Months (sum of ICC1 + 5)]]=0,"NA",(SUMPRODUCT(G112,D112)+SUMPRODUCT(G126,D126))/ValbyACO_MCare[[#This Row],[2021 Member Months (sum of ICC1 + 5)]])</f>
        <v>NA</v>
      </c>
      <c r="H98" s="268" t="str">
        <f>IF(ValbyACO_MCare[[#This Row],[2021 Member Months (sum of ICC1 + 5)]]=0,"NA",(SUMPRODUCT(H112,D112)+SUMPRODUCT(H126,D126))/ValbyACO_MCare[[#This Row],[2021 Member Months (sum of ICC1 + 5)]])</f>
        <v>NA</v>
      </c>
      <c r="I98" s="268" t="str">
        <f>IF(ValbyACO_MCare[[#This Row],[2021 Member Months (sum of ICC1 + 5)]]=0,"NA",(SUMPRODUCT(I112,D112)+SUMPRODUCT(I126,D126))/ValbyACO_MCare[[#This Row],[2021 Member Months (sum of ICC1 + 5)]])</f>
        <v>NA</v>
      </c>
      <c r="J98" s="268" t="str">
        <f>IF(ValbyACO_MCare[[#This Row],[2021 Member Months (sum of ICC1 + 5)]]=0,"NA",(SUMPRODUCT(J112,D112)+SUMPRODUCT(J126,D126))/ValbyACO_MCare[[#This Row],[2021 Member Months (sum of ICC1 + 5)]])</f>
        <v>NA</v>
      </c>
      <c r="K98" s="268" t="str">
        <f>IF(ValbyACO_MCare[[#This Row],[2021 Member Months (sum of ICC1 + 5)]]=0,"NA",(SUMPRODUCT(K112,D112)+SUMPRODUCT(K126,D126))/ValbyACO_MCare[[#This Row],[2021 Member Months (sum of ICC1 + 5)]])</f>
        <v>NA</v>
      </c>
      <c r="L98" s="268" t="str">
        <f>IF(ValbyACO_MCare[[#This Row],[2021 Member Months (sum of ICC1 + 5)]]=0,"NA",(SUMPRODUCT(L112,D112)+SUMPRODUCT(L126,D126))/ValbyACO_MCare[[#This Row],[2021 Member Months (sum of ICC1 + 5)]])</f>
        <v>NA</v>
      </c>
      <c r="M98" s="118" t="str">
        <f>IF(ValbyACO_MCare[[#This Row],[2021 Member Months (sum of ICC1 + 5)]]=0,"NA",(SUMPRODUCT(M112,D112)+SUMPRODUCT(M126,D126))/ValbyACO_MCare[[#This Row],[2021 Member Months (sum of ICC1 + 5)]])</f>
        <v>NA</v>
      </c>
      <c r="N98" s="118" t="str">
        <f>IF(ValbyACO_MCare[[#This Row],[2021 Member Months (sum of ICC1 + 5)]]=0,"NA",(SUMPRODUCT(N112,D112)+SUMPRODUCT(N126,D126))/ValbyACO_MCare[[#This Row],[2021 Member Months (sum of ICC1 + 5)]])</f>
        <v>NA</v>
      </c>
      <c r="O98" s="118" t="str">
        <f>IF(ValbyACO_MCare[[#This Row],[2021 Member Months (sum of ICC1 + 5)]]=0,"NA",(SUMPRODUCT(O112,D112)+SUMPRODUCT(O126,D126))/ValbyACO_MCare[[#This Row],[2021 Member Months (sum of ICC1 + 5)]])</f>
        <v>NA</v>
      </c>
      <c r="P98" s="118" t="str">
        <f>IF(ValbyACO_MCare[[#This Row],[2021 Member Months (sum of ICC1 + 5)]]=0,"NA",(SUMPRODUCT(P112,D112)+SUMPRODUCT(P126,D126))/ValbyACO_MCare[[#This Row],[2021 Member Months (sum of ICC1 + 5)]])</f>
        <v>NA</v>
      </c>
      <c r="Q98" s="119" t="str">
        <f>IF(ValbyACO_MCare[[#This Row],[2021 Member Months (sum of ICC1 + 5)]]=0,"NA",(SUMPRODUCT(Q112,D112)+SUMPRODUCT(Q126,D126))/ValbyACO_MCare[[#This Row],[2021 Member Months (sum of ICC1 + 5)]])</f>
        <v>NA</v>
      </c>
      <c r="R98" s="192">
        <f t="shared" si="11"/>
        <v>0</v>
      </c>
      <c r="S98" s="118" t="str">
        <f>IF(ValbyACO_MCare[[#This Row],[2022 Member Months (sum of ICC1+ 5)]]=0,"NA",(SUMPRODUCT(S112,R112)+SUMPRODUCT(S126,R126))/ValbyACO_MCare[[#This Row],[2022 Member Months (sum of ICC1+ 5)]])</f>
        <v>NA</v>
      </c>
      <c r="T98" s="118" t="str">
        <f>IF(ValbyACO_MCare[[#This Row],[2022 Member Months (sum of ICC1+ 5)]]=0,"NA",(SUMPRODUCT(T112,R112)+SUMPRODUCT(T126,R126))/ValbyACO_MCare[[#This Row],[2022 Member Months (sum of ICC1+ 5)]])</f>
        <v>NA</v>
      </c>
      <c r="U98" s="118" t="str">
        <f>IF(ValbyACO_MCare[[#This Row],[2022 Member Months (sum of ICC1+ 5)]]=0,"NA",(SUMPRODUCT(U112,R112)+SUMPRODUCT(U126,R126))/ValbyACO_MCare[[#This Row],[2022 Member Months (sum of ICC1+ 5)]])</f>
        <v>NA</v>
      </c>
      <c r="V98" s="118" t="str">
        <f>IF(ValbyACO_MCare[[#This Row],[2022 Member Months (sum of ICC1+ 5)]]=0,"NA",(SUMPRODUCT(V112,R112)+SUMPRODUCT(V126,R126))/ValbyACO_MCare[[#This Row],[2022 Member Months (sum of ICC1+ 5)]])</f>
        <v>NA</v>
      </c>
      <c r="W98" s="118" t="str">
        <f>IF(ValbyACO_MCare[[#This Row],[2022 Member Months (sum of ICC1+ 5)]]=0,"NA",(SUMPRODUCT(W112,R112)+SUMPRODUCT(W126,R126))/ValbyACO_MCare[[#This Row],[2022 Member Months (sum of ICC1+ 5)]])</f>
        <v>NA</v>
      </c>
      <c r="X98" s="118" t="str">
        <f>IF(ValbyACO_MCare[[#This Row],[2022 Member Months (sum of ICC1+ 5)]]=0,"NA",(SUMPRODUCT(X112,R112)+SUMPRODUCT(X126,R126))/ValbyACO_MCare[[#This Row],[2022 Member Months (sum of ICC1+ 5)]])</f>
        <v>NA</v>
      </c>
      <c r="Y98" s="118" t="str">
        <f>IF(ValbyACO_MCare[[#This Row],[2022 Member Months (sum of ICC1+ 5)]]=0,"NA",(SUMPRODUCT(Y112,R112)+SUMPRODUCT(Y126,R126))/ValbyACO_MCare[[#This Row],[2022 Member Months (sum of ICC1+ 5)]])</f>
        <v>NA</v>
      </c>
      <c r="Z98" s="118" t="str">
        <f>IF(ValbyACO_MCare[[#This Row],[2022 Member Months (sum of ICC1+ 5)]]=0,"NA",(SUMPRODUCT(Z112,R112)+SUMPRODUCT(Z126,R126))/ValbyACO_MCare[[#This Row],[2022 Member Months (sum of ICC1+ 5)]])</f>
        <v>NA</v>
      </c>
      <c r="AA98" s="118" t="str">
        <f>IF(ValbyACO_MCare[[#This Row],[2022 Member Months (sum of ICC1+ 5)]]=0,"NA",(SUMPRODUCT(AA112,R112)+SUMPRODUCT(AA126,R126))/ValbyACO_MCare[[#This Row],[2022 Member Months (sum of ICC1+ 5)]])</f>
        <v>NA</v>
      </c>
      <c r="AB98" s="118" t="str">
        <f>IF(ValbyACO_MCare[[#This Row],[2022 Member Months (sum of ICC1+ 5)]]=0,"NA",(SUMPRODUCT(AB112,R112)+SUMPRODUCT(AB126,R126))/ValbyACO_MCare[[#This Row],[2022 Member Months (sum of ICC1+ 5)]])</f>
        <v>NA</v>
      </c>
      <c r="AC98" s="118" t="str">
        <f>IF(ValbyACO_MCare[[#This Row],[2022 Member Months (sum of ICC1+ 5)]]=0,"NA",(SUMPRODUCT(AC112,R112)+SUMPRODUCT(AC126,R126))/ValbyACO_MCare[[#This Row],[2022 Member Months (sum of ICC1+ 5)]])</f>
        <v>NA</v>
      </c>
      <c r="AD98" s="118" t="str">
        <f>IF(ValbyACO_MCare[[#This Row],[2022 Member Months (sum of ICC1+ 5)]]=0,"NA",(SUMPRODUCT(AD112,R112)+SUMPRODUCT(AD126,R126))/ValbyACO_MCare[[#This Row],[2022 Member Months (sum of ICC1+ 5)]])</f>
        <v>NA</v>
      </c>
      <c r="AE98" s="119" t="str">
        <f>IF(ValbyACO_MCare[[#This Row],[2022 Member Months (sum of ICC1+ 5)]]=0,"NA",(SUMPRODUCT(AE112,R112)+SUMPRODUCT(AE126,R126))/ValbyACO_MCare[[#This Row],[2022 Member Months (sum of ICC1+ 5)]])</f>
        <v>NA</v>
      </c>
      <c r="AF98" s="160" t="str">
        <f>IFERROR(IF(ValbyACO_MCare[[#This Row],[2021 Member Months (sum of ICC1 + 5)]]=0,"NA",ValbyACO_MCare[[#This Row],[2022 Member Months (sum of ICC1+ 5)]]/ValbyACO_MCare[[#This Row],[2021 Member Months (sum of ICC1 + 5)]]-1),"NA")</f>
        <v>NA</v>
      </c>
      <c r="AG98" s="161" t="str">
        <f>IFERROR(IF(ValbyACO_MCare[[#This Row],[2021 Member Months (sum of ICC1 + 5)]]=0,"NA",ValbyACO_MCare[[#This Row],[2022 Claims: Hospital Inpatient]]/ValbyACO_MCare[[#This Row],[2021 Claims: Hospital Inpatient]]-1),"NA")</f>
        <v>NA</v>
      </c>
      <c r="AH98" s="162" t="str">
        <f>IFERROR(IF(ValbyACO_MCare[[#This Row],[2021 Member Months (sum of ICC1 + 5)]]=0,"NA",ValbyACO_MCare[[#This Row],[2022 Claims: Hospital Outpatient]]/ValbyACO_MCare[[#This Row],[2021 Claims: Hospital Outpatient]]-1),"NA")</f>
        <v>NA</v>
      </c>
      <c r="AI98" s="162" t="str">
        <f>IFERROR(IF(ValbyACO_MCare[[#This Row],[2021 Member Months (sum of ICC1 + 5)]]=0,"NA",ValbyACO_MCare[[#This Row],[2022 Claims: Professional, Primary Care]]/ValbyACO_MCare[[#This Row],[2021 Claims: Professional, Primary Care]]-1),"NA")</f>
        <v>NA</v>
      </c>
      <c r="AJ98" s="162" t="str">
        <f>IFERROR(IF(ValbyACO_MCare[[#This Row],[2021 Member Months (sum of ICC1 + 5)]]=0,"NA",ValbyACO_MCare[[#This Row],[2022 Claims: Professional, Specialty Care]]/ValbyACO_MCare[[#This Row],[2021 Claims: Professional, Specialty Care]]-1),"NA")</f>
        <v>NA</v>
      </c>
      <c r="AK98" s="162" t="str">
        <f>IFERROR(IF(ValbyACO_MCare[[#This Row],[2021 Member Months (sum of ICC1 + 5)]]=0,"NA", ValbyACO_MCare[[#This Row],[2022 Claims: Professional Other]]/ValbyACO_MCare[[#This Row],[2021 Claims: Professional Other]]-1),"NA")</f>
        <v>NA</v>
      </c>
      <c r="AL98" s="162" t="str">
        <f>IFERROR(IF(ValbyACO_MCare[[#This Row],[2021 Member Months (sum of ICC1 + 5)]]=0,"NA",ValbyACO_MCare[[#This Row],[2022 Claims: Pharmacy (Gross of Retail Pharmacy Rebates)]]/ValbyACO_MCare[[#This Row],[2021 Claims: Pharmacy (Gross of  Rebates)]]-1),"NA")</f>
        <v>NA</v>
      </c>
      <c r="AM98" s="162" t="str">
        <f>IFERROR(IF(ValbyACO_MCare[[#This Row],[2021 Member Months (sum of ICC1 + 5)]]=0,"NA",ValbyACO_MCare[[#This Row],[2022 Claims: Long-term Care]]/ValbyACO_MCare[[#This Row],[2021 Claims: Long-term Care]]-1),"NA")</f>
        <v>NA</v>
      </c>
      <c r="AN98" s="162" t="str">
        <f>IFERROR(IF(ValbyACO_MCare[[#This Row],[2021 Member Months (sum of ICC1 + 5)]]=0,"NA",ValbyACO_MCare[[#This Row],[2022 Claims: Other]]/ValbyACO_MCare[[#This Row],[2021 Claims: Other]]-1),"NA")</f>
        <v>NA</v>
      </c>
      <c r="AO98" s="163" t="str">
        <f>IFERROR(IF(ValbyACO_MCare[[#This Row],[2021 Member Months (sum of ICC1 + 5)]]=0,"NA",ValbyACO_MCare[[#This Row],[2022 TOTAL Non-Truncated Claims Expenses]]/ValbyACO_MCare[[#This Row],[2021 TOTAL Non-Truncated Claims Expenses]]-1),"NA")</f>
        <v>NA</v>
      </c>
      <c r="AP98" s="163" t="str">
        <f>IFERROR(IF(ValbyACO_MCare[[#This Row],[2021 Member Months (sum of ICC1 + 5)]]=0,"NA",ValbyACO_MCare[[#This Row],[2022 TOTAL Truncated Claims Expenses]]/ValbyACO_MCare[[#This Row],[2021 TOTAL Truncated Claims Expenses]]-1),"NA")</f>
        <v>NA</v>
      </c>
      <c r="AQ98" s="163" t="str">
        <f>IFERROR(IF(ValbyACO_MCare[[#This Row],[2021 Member Months (sum of ICC1 + 5)]]=0,"NA",ValbyACO_MCare[[#This Row],[2022 TOTAL Non-Claims Expenses]]/ValbyACO_MCare[[#This Row],[2021 TOTAL Non-Claims Expenses]]-1),"NA")</f>
        <v>NA</v>
      </c>
      <c r="AR98" s="163" t="str">
        <f>IFERROR(IF(ValbyACO_MCare[[#This Row],[2021 Member Months (sum of ICC1 + 5)]]=0,"NA",ValbyACO_MCare[[#This Row],[2022 TOTAL Non-Truncated Total Expenses]]/ValbyACO_MCare[[#This Row],[2021 TOTAL Non-Truncated Total Expenses]]-1),"NA")</f>
        <v>NA</v>
      </c>
      <c r="AS98" s="163" t="str">
        <f>IFERROR(IF(ValbyACO_MCare[[#This Row],[2021 Member Months (sum of ICC1 + 5)]]=0,"NA",ValbyACO_MCare[[#This Row],[2022 TOTAL Truncated Total Expenses]]/ValbyACO_MCare[[#This Row],[2021 TOTAL Truncated Total Expenses]]-1),"NA")</f>
        <v>NA</v>
      </c>
    </row>
    <row r="99" spans="1:45" x14ac:dyDescent="0.35">
      <c r="B99" s="250">
        <v>108</v>
      </c>
      <c r="C99" s="131" t="s">
        <v>508</v>
      </c>
      <c r="D99" s="192">
        <f t="shared" si="10"/>
        <v>0</v>
      </c>
      <c r="E99" s="268" t="str">
        <f>IF(ValbyACO_MCare[[#This Row],[2021 Member Months (sum of ICC1 + 5)]]=0,"NA",(SUMPRODUCT(E113,D113)+SUMPRODUCT(E127,D127))/ValbyACO_MCare[[#This Row],[2021 Member Months (sum of ICC1 + 5)]])</f>
        <v>NA</v>
      </c>
      <c r="F99" s="268" t="str">
        <f>IF(ValbyACO_MCare[[#This Row],[2021 Member Months (sum of ICC1 + 5)]]=0,"NA",(SUMPRODUCT(F113,D113)+SUMPRODUCT(F127,D127))/ValbyACO_MCare[[#This Row],[2021 Member Months (sum of ICC1 + 5)]])</f>
        <v>NA</v>
      </c>
      <c r="G99" s="268" t="str">
        <f>IF(ValbyACO_MCare[[#This Row],[2021 Member Months (sum of ICC1 + 5)]]=0,"NA",(SUMPRODUCT(G113,D113)+SUMPRODUCT(G127,D127))/ValbyACO_MCare[[#This Row],[2021 Member Months (sum of ICC1 + 5)]])</f>
        <v>NA</v>
      </c>
      <c r="H99" s="268" t="str">
        <f>IF(ValbyACO_MCare[[#This Row],[2021 Member Months (sum of ICC1 + 5)]]=0,"NA",(SUMPRODUCT(H113,D113)+SUMPRODUCT(H127,D127))/ValbyACO_MCare[[#This Row],[2021 Member Months (sum of ICC1 + 5)]])</f>
        <v>NA</v>
      </c>
      <c r="I99" s="268" t="str">
        <f>IF(ValbyACO_MCare[[#This Row],[2021 Member Months (sum of ICC1 + 5)]]=0,"NA",(SUMPRODUCT(I113,D113)+SUMPRODUCT(I127,D127))/ValbyACO_MCare[[#This Row],[2021 Member Months (sum of ICC1 + 5)]])</f>
        <v>NA</v>
      </c>
      <c r="J99" s="268" t="str">
        <f>IF(ValbyACO_MCare[[#This Row],[2021 Member Months (sum of ICC1 + 5)]]=0,"NA",(SUMPRODUCT(J113,D113)+SUMPRODUCT(J127,D127))/ValbyACO_MCare[[#This Row],[2021 Member Months (sum of ICC1 + 5)]])</f>
        <v>NA</v>
      </c>
      <c r="K99" s="268" t="str">
        <f>IF(ValbyACO_MCare[[#This Row],[2021 Member Months (sum of ICC1 + 5)]]=0,"NA",(SUMPRODUCT(K113,D113)+SUMPRODUCT(K127,D127))/ValbyACO_MCare[[#This Row],[2021 Member Months (sum of ICC1 + 5)]])</f>
        <v>NA</v>
      </c>
      <c r="L99" s="268" t="str">
        <f>IF(ValbyACO_MCare[[#This Row],[2021 Member Months (sum of ICC1 + 5)]]=0,"NA",(SUMPRODUCT(L113,D113)+SUMPRODUCT(L127,D127))/ValbyACO_MCare[[#This Row],[2021 Member Months (sum of ICC1 + 5)]])</f>
        <v>NA</v>
      </c>
      <c r="M99" s="118" t="str">
        <f>IF(ValbyACO_MCare[[#This Row],[2021 Member Months (sum of ICC1 + 5)]]=0,"NA",(SUMPRODUCT(M113,D113)+SUMPRODUCT(M127,D127))/ValbyACO_MCare[[#This Row],[2021 Member Months (sum of ICC1 + 5)]])</f>
        <v>NA</v>
      </c>
      <c r="N99" s="118" t="str">
        <f>IF(ValbyACO_MCare[[#This Row],[2021 Member Months (sum of ICC1 + 5)]]=0,"NA",(SUMPRODUCT(N113,D113)+SUMPRODUCT(N127,D127))/ValbyACO_MCare[[#This Row],[2021 Member Months (sum of ICC1 + 5)]])</f>
        <v>NA</v>
      </c>
      <c r="O99" s="118" t="str">
        <f>IF(ValbyACO_MCare[[#This Row],[2021 Member Months (sum of ICC1 + 5)]]=0,"NA",(SUMPRODUCT(O113,D113)+SUMPRODUCT(O127,D127))/ValbyACO_MCare[[#This Row],[2021 Member Months (sum of ICC1 + 5)]])</f>
        <v>NA</v>
      </c>
      <c r="P99" s="118" t="str">
        <f>IF(ValbyACO_MCare[[#This Row],[2021 Member Months (sum of ICC1 + 5)]]=0,"NA",(SUMPRODUCT(P113,D113)+SUMPRODUCT(P127,D127))/ValbyACO_MCare[[#This Row],[2021 Member Months (sum of ICC1 + 5)]])</f>
        <v>NA</v>
      </c>
      <c r="Q99" s="119" t="str">
        <f>IF(ValbyACO_MCare[[#This Row],[2021 Member Months (sum of ICC1 + 5)]]=0,"NA",(SUMPRODUCT(Q113,D113)+SUMPRODUCT(Q127,D127))/ValbyACO_MCare[[#This Row],[2021 Member Months (sum of ICC1 + 5)]])</f>
        <v>NA</v>
      </c>
      <c r="R99" s="192">
        <f t="shared" si="11"/>
        <v>0</v>
      </c>
      <c r="S99" s="118" t="str">
        <f>IF(ValbyACO_MCare[[#This Row],[2022 Member Months (sum of ICC1+ 5)]]=0,"NA",(SUMPRODUCT(S113,R113)+SUMPRODUCT(S127,R127))/ValbyACO_MCare[[#This Row],[2022 Member Months (sum of ICC1+ 5)]])</f>
        <v>NA</v>
      </c>
      <c r="T99" s="118" t="str">
        <f>IF(ValbyACO_MCare[[#This Row],[2022 Member Months (sum of ICC1+ 5)]]=0,"NA",(SUMPRODUCT(T113,R113)+SUMPRODUCT(T127,R127))/ValbyACO_MCare[[#This Row],[2022 Member Months (sum of ICC1+ 5)]])</f>
        <v>NA</v>
      </c>
      <c r="U99" s="118" t="str">
        <f>IF(ValbyACO_MCare[[#This Row],[2022 Member Months (sum of ICC1+ 5)]]=0,"NA",(SUMPRODUCT(U113,R113)+SUMPRODUCT(U127,R127))/ValbyACO_MCare[[#This Row],[2022 Member Months (sum of ICC1+ 5)]])</f>
        <v>NA</v>
      </c>
      <c r="V99" s="118" t="str">
        <f>IF(ValbyACO_MCare[[#This Row],[2022 Member Months (sum of ICC1+ 5)]]=0,"NA",(SUMPRODUCT(V113,R113)+SUMPRODUCT(V127,R127))/ValbyACO_MCare[[#This Row],[2022 Member Months (sum of ICC1+ 5)]])</f>
        <v>NA</v>
      </c>
      <c r="W99" s="118" t="str">
        <f>IF(ValbyACO_MCare[[#This Row],[2022 Member Months (sum of ICC1+ 5)]]=0,"NA",(SUMPRODUCT(W113,R113)+SUMPRODUCT(W127,R127))/ValbyACO_MCare[[#This Row],[2022 Member Months (sum of ICC1+ 5)]])</f>
        <v>NA</v>
      </c>
      <c r="X99" s="118" t="str">
        <f>IF(ValbyACO_MCare[[#This Row],[2022 Member Months (sum of ICC1+ 5)]]=0,"NA",(SUMPRODUCT(X113,R113)+SUMPRODUCT(X127,R127))/ValbyACO_MCare[[#This Row],[2022 Member Months (sum of ICC1+ 5)]])</f>
        <v>NA</v>
      </c>
      <c r="Y99" s="118" t="str">
        <f>IF(ValbyACO_MCare[[#This Row],[2022 Member Months (sum of ICC1+ 5)]]=0,"NA",(SUMPRODUCT(Y113,R113)+SUMPRODUCT(Y127,R127))/ValbyACO_MCare[[#This Row],[2022 Member Months (sum of ICC1+ 5)]])</f>
        <v>NA</v>
      </c>
      <c r="Z99" s="118" t="str">
        <f>IF(ValbyACO_MCare[[#This Row],[2022 Member Months (sum of ICC1+ 5)]]=0,"NA",(SUMPRODUCT(Z113,R113)+SUMPRODUCT(Z127,R127))/ValbyACO_MCare[[#This Row],[2022 Member Months (sum of ICC1+ 5)]])</f>
        <v>NA</v>
      </c>
      <c r="AA99" s="118" t="str">
        <f>IF(ValbyACO_MCare[[#This Row],[2022 Member Months (sum of ICC1+ 5)]]=0,"NA",(SUMPRODUCT(AA113,R113)+SUMPRODUCT(AA127,R127))/ValbyACO_MCare[[#This Row],[2022 Member Months (sum of ICC1+ 5)]])</f>
        <v>NA</v>
      </c>
      <c r="AB99" s="118" t="str">
        <f>IF(ValbyACO_MCare[[#This Row],[2022 Member Months (sum of ICC1+ 5)]]=0,"NA",(SUMPRODUCT(AB113,R113)+SUMPRODUCT(AB127,R127))/ValbyACO_MCare[[#This Row],[2022 Member Months (sum of ICC1+ 5)]])</f>
        <v>NA</v>
      </c>
      <c r="AC99" s="118" t="str">
        <f>IF(ValbyACO_MCare[[#This Row],[2022 Member Months (sum of ICC1+ 5)]]=0,"NA",(SUMPRODUCT(AC113,R113)+SUMPRODUCT(AC127,R127))/ValbyACO_MCare[[#This Row],[2022 Member Months (sum of ICC1+ 5)]])</f>
        <v>NA</v>
      </c>
      <c r="AD99" s="118" t="str">
        <f>IF(ValbyACO_MCare[[#This Row],[2022 Member Months (sum of ICC1+ 5)]]=0,"NA",(SUMPRODUCT(AD113,R113)+SUMPRODUCT(AD127,R127))/ValbyACO_MCare[[#This Row],[2022 Member Months (sum of ICC1+ 5)]])</f>
        <v>NA</v>
      </c>
      <c r="AE99" s="119" t="str">
        <f>IF(ValbyACO_MCare[[#This Row],[2022 Member Months (sum of ICC1+ 5)]]=0,"NA",(SUMPRODUCT(AE113,R113)+SUMPRODUCT(AE127,R127))/ValbyACO_MCare[[#This Row],[2022 Member Months (sum of ICC1+ 5)]])</f>
        <v>NA</v>
      </c>
      <c r="AF99" s="160" t="str">
        <f>IFERROR(IF(ValbyACO_MCare[[#This Row],[2021 Member Months (sum of ICC1 + 5)]]=0,"NA",ValbyACO_MCare[[#This Row],[2022 Member Months (sum of ICC1+ 5)]]/ValbyACO_MCare[[#This Row],[2021 Member Months (sum of ICC1 + 5)]]-1),"NA")</f>
        <v>NA</v>
      </c>
      <c r="AG99" s="161" t="str">
        <f>IFERROR(IF(ValbyACO_MCare[[#This Row],[2021 Member Months (sum of ICC1 + 5)]]=0,"NA",ValbyACO_MCare[[#This Row],[2022 Claims: Hospital Inpatient]]/ValbyACO_MCare[[#This Row],[2021 Claims: Hospital Inpatient]]-1),"NA")</f>
        <v>NA</v>
      </c>
      <c r="AH99" s="162" t="str">
        <f>IFERROR(IF(ValbyACO_MCare[[#This Row],[2021 Member Months (sum of ICC1 + 5)]]=0,"NA",ValbyACO_MCare[[#This Row],[2022 Claims: Hospital Outpatient]]/ValbyACO_MCare[[#This Row],[2021 Claims: Hospital Outpatient]]-1),"NA")</f>
        <v>NA</v>
      </c>
      <c r="AI99" s="162" t="str">
        <f>IFERROR(IF(ValbyACO_MCare[[#This Row],[2021 Member Months (sum of ICC1 + 5)]]=0,"NA",ValbyACO_MCare[[#This Row],[2022 Claims: Professional, Primary Care]]/ValbyACO_MCare[[#This Row],[2021 Claims: Professional, Primary Care]]-1),"NA")</f>
        <v>NA</v>
      </c>
      <c r="AJ99" s="162" t="str">
        <f>IFERROR(IF(ValbyACO_MCare[[#This Row],[2021 Member Months (sum of ICC1 + 5)]]=0,"NA",ValbyACO_MCare[[#This Row],[2022 Claims: Professional, Specialty Care]]/ValbyACO_MCare[[#This Row],[2021 Claims: Professional, Specialty Care]]-1),"NA")</f>
        <v>NA</v>
      </c>
      <c r="AK99" s="162" t="str">
        <f>IFERROR(IF(ValbyACO_MCare[[#This Row],[2021 Member Months (sum of ICC1 + 5)]]=0,"NA", ValbyACO_MCare[[#This Row],[2022 Claims: Professional Other]]/ValbyACO_MCare[[#This Row],[2021 Claims: Professional Other]]-1),"NA")</f>
        <v>NA</v>
      </c>
      <c r="AL99" s="162" t="str">
        <f>IFERROR(IF(ValbyACO_MCare[[#This Row],[2021 Member Months (sum of ICC1 + 5)]]=0,"NA",ValbyACO_MCare[[#This Row],[2022 Claims: Pharmacy (Gross of Retail Pharmacy Rebates)]]/ValbyACO_MCare[[#This Row],[2021 Claims: Pharmacy (Gross of  Rebates)]]-1),"NA")</f>
        <v>NA</v>
      </c>
      <c r="AM99" s="162" t="str">
        <f>IFERROR(IF(ValbyACO_MCare[[#This Row],[2021 Member Months (sum of ICC1 + 5)]]=0,"NA",ValbyACO_MCare[[#This Row],[2022 Claims: Long-term Care]]/ValbyACO_MCare[[#This Row],[2021 Claims: Long-term Care]]-1),"NA")</f>
        <v>NA</v>
      </c>
      <c r="AN99" s="162" t="str">
        <f>IFERROR(IF(ValbyACO_MCare[[#This Row],[2021 Member Months (sum of ICC1 + 5)]]=0,"NA",ValbyACO_MCare[[#This Row],[2022 Claims: Other]]/ValbyACO_MCare[[#This Row],[2021 Claims: Other]]-1),"NA")</f>
        <v>NA</v>
      </c>
      <c r="AO99" s="163" t="str">
        <f>IFERROR(IF(ValbyACO_MCare[[#This Row],[2021 Member Months (sum of ICC1 + 5)]]=0,"NA",ValbyACO_MCare[[#This Row],[2022 TOTAL Non-Truncated Claims Expenses]]/ValbyACO_MCare[[#This Row],[2021 TOTAL Non-Truncated Claims Expenses]]-1),"NA")</f>
        <v>NA</v>
      </c>
      <c r="AP99" s="163" t="str">
        <f>IFERROR(IF(ValbyACO_MCare[[#This Row],[2021 Member Months (sum of ICC1 + 5)]]=0,"NA",ValbyACO_MCare[[#This Row],[2022 TOTAL Truncated Claims Expenses]]/ValbyACO_MCare[[#This Row],[2021 TOTAL Truncated Claims Expenses]]-1),"NA")</f>
        <v>NA</v>
      </c>
      <c r="AQ99" s="163" t="str">
        <f>IFERROR(IF(ValbyACO_MCare[[#This Row],[2021 Member Months (sum of ICC1 + 5)]]=0,"NA",ValbyACO_MCare[[#This Row],[2022 TOTAL Non-Claims Expenses]]/ValbyACO_MCare[[#This Row],[2021 TOTAL Non-Claims Expenses]]-1),"NA")</f>
        <v>NA</v>
      </c>
      <c r="AR99" s="163" t="str">
        <f>IFERROR(IF(ValbyACO_MCare[[#This Row],[2021 Member Months (sum of ICC1 + 5)]]=0,"NA",ValbyACO_MCare[[#This Row],[2022 TOTAL Non-Truncated Total Expenses]]/ValbyACO_MCare[[#This Row],[2021 TOTAL Non-Truncated Total Expenses]]-1),"NA")</f>
        <v>NA</v>
      </c>
      <c r="AS99" s="163" t="str">
        <f>IFERROR(IF(ValbyACO_MCare[[#This Row],[2021 Member Months (sum of ICC1 + 5)]]=0,"NA",ValbyACO_MCare[[#This Row],[2022 TOTAL Truncated Total Expenses]]/ValbyACO_MCare[[#This Row],[2021 TOTAL Truncated Total Expenses]]-1),"NA")</f>
        <v>NA</v>
      </c>
    </row>
    <row r="100" spans="1:45" x14ac:dyDescent="0.35">
      <c r="B100" s="250">
        <v>999</v>
      </c>
      <c r="C100" s="131" t="s">
        <v>172</v>
      </c>
      <c r="D100" s="192">
        <f t="shared" si="10"/>
        <v>0</v>
      </c>
      <c r="E100" s="268" t="str">
        <f>IF(ValbyACO_MCare[[#This Row],[2021 Member Months (sum of ICC1 + 5)]]=0,"NA",(SUMPRODUCT(E114,D114)+SUMPRODUCT(E128,D128))/ValbyACO_MCare[[#This Row],[2021 Member Months (sum of ICC1 + 5)]])</f>
        <v>NA</v>
      </c>
      <c r="F100" s="268" t="str">
        <f>IF(ValbyACO_MCare[[#This Row],[2021 Member Months (sum of ICC1 + 5)]]=0,"NA",(SUMPRODUCT(F114,D114)+SUMPRODUCT(F128,D128))/ValbyACO_MCare[[#This Row],[2021 Member Months (sum of ICC1 + 5)]])</f>
        <v>NA</v>
      </c>
      <c r="G100" s="268" t="str">
        <f>IF(ValbyACO_MCare[[#This Row],[2021 Member Months (sum of ICC1 + 5)]]=0,"NA",(SUMPRODUCT(G114,D114)+SUMPRODUCT(G128,D128))/ValbyACO_MCare[[#This Row],[2021 Member Months (sum of ICC1 + 5)]])</f>
        <v>NA</v>
      </c>
      <c r="H100" s="268" t="str">
        <f>IF(ValbyACO_MCare[[#This Row],[2021 Member Months (sum of ICC1 + 5)]]=0,"NA",(SUMPRODUCT(H114,D114)+SUMPRODUCT(H128,D128))/ValbyACO_MCare[[#This Row],[2021 Member Months (sum of ICC1 + 5)]])</f>
        <v>NA</v>
      </c>
      <c r="I100" s="268" t="str">
        <f>IF(ValbyACO_MCare[[#This Row],[2021 Member Months (sum of ICC1 + 5)]]=0,"NA",(SUMPRODUCT(I114,D114)+SUMPRODUCT(I128,D128))/ValbyACO_MCare[[#This Row],[2021 Member Months (sum of ICC1 + 5)]])</f>
        <v>NA</v>
      </c>
      <c r="J100" s="268" t="str">
        <f>IF(ValbyACO_MCare[[#This Row],[2021 Member Months (sum of ICC1 + 5)]]=0,"NA",(SUMPRODUCT(J114,D114)+SUMPRODUCT(J128,D128))/ValbyACO_MCare[[#This Row],[2021 Member Months (sum of ICC1 + 5)]])</f>
        <v>NA</v>
      </c>
      <c r="K100" s="268" t="str">
        <f>IF(ValbyACO_MCare[[#This Row],[2021 Member Months (sum of ICC1 + 5)]]=0,"NA",(SUMPRODUCT(K114,D114)+SUMPRODUCT(K128,D128))/ValbyACO_MCare[[#This Row],[2021 Member Months (sum of ICC1 + 5)]])</f>
        <v>NA</v>
      </c>
      <c r="L100" s="268" t="str">
        <f>IF(ValbyACO_MCare[[#This Row],[2021 Member Months (sum of ICC1 + 5)]]=0,"NA",(SUMPRODUCT(L114,D114)+SUMPRODUCT(L128,D128))/ValbyACO_MCare[[#This Row],[2021 Member Months (sum of ICC1 + 5)]])</f>
        <v>NA</v>
      </c>
      <c r="M100" s="118" t="str">
        <f>IF(ValbyACO_MCare[[#This Row],[2021 Member Months (sum of ICC1 + 5)]]=0,"NA",(SUMPRODUCT(M114,D114)+SUMPRODUCT(M128,D128))/ValbyACO_MCare[[#This Row],[2021 Member Months (sum of ICC1 + 5)]])</f>
        <v>NA</v>
      </c>
      <c r="N100" s="118" t="str">
        <f>IF(ValbyACO_MCare[[#This Row],[2021 Member Months (sum of ICC1 + 5)]]=0,"NA",(SUMPRODUCT(N114,D114)+SUMPRODUCT(N128,D128))/ValbyACO_MCare[[#This Row],[2021 Member Months (sum of ICC1 + 5)]])</f>
        <v>NA</v>
      </c>
      <c r="O100" s="118" t="str">
        <f>IF(ValbyACO_MCare[[#This Row],[2021 Member Months (sum of ICC1 + 5)]]=0,"NA",(SUMPRODUCT(O114,D114)+SUMPRODUCT(O128,D128))/ValbyACO_MCare[[#This Row],[2021 Member Months (sum of ICC1 + 5)]])</f>
        <v>NA</v>
      </c>
      <c r="P100" s="118" t="str">
        <f>IF(ValbyACO_MCare[[#This Row],[2021 Member Months (sum of ICC1 + 5)]]=0,"NA",(SUMPRODUCT(P114,D114)+SUMPRODUCT(P128,D128))/ValbyACO_MCare[[#This Row],[2021 Member Months (sum of ICC1 + 5)]])</f>
        <v>NA</v>
      </c>
      <c r="Q100" s="119" t="str">
        <f>IF(ValbyACO_MCare[[#This Row],[2021 Member Months (sum of ICC1 + 5)]]=0,"NA",(SUMPRODUCT(Q114,D114)+SUMPRODUCT(Q128,D128))/ValbyACO_MCare[[#This Row],[2021 Member Months (sum of ICC1 + 5)]])</f>
        <v>NA</v>
      </c>
      <c r="R100" s="192">
        <f t="shared" si="11"/>
        <v>0</v>
      </c>
      <c r="S100" s="118" t="str">
        <f>IF(ValbyACO_MCare[[#This Row],[2022 Member Months (sum of ICC1+ 5)]]=0,"NA",(SUMPRODUCT(S114,R114)+SUMPRODUCT(S128,R128))/ValbyACO_MCare[[#This Row],[2022 Member Months (sum of ICC1+ 5)]])</f>
        <v>NA</v>
      </c>
      <c r="T100" s="118" t="str">
        <f>IF(ValbyACO_MCare[[#This Row],[2022 Member Months (sum of ICC1+ 5)]]=0,"NA",(SUMPRODUCT(T114,R114)+SUMPRODUCT(T128,R128))/ValbyACO_MCare[[#This Row],[2022 Member Months (sum of ICC1+ 5)]])</f>
        <v>NA</v>
      </c>
      <c r="U100" s="118" t="str">
        <f>IF(ValbyACO_MCare[[#This Row],[2022 Member Months (sum of ICC1+ 5)]]=0,"NA",(SUMPRODUCT(U114,R114)+SUMPRODUCT(U128,R128))/ValbyACO_MCare[[#This Row],[2022 Member Months (sum of ICC1+ 5)]])</f>
        <v>NA</v>
      </c>
      <c r="V100" s="118" t="str">
        <f>IF(ValbyACO_MCare[[#This Row],[2022 Member Months (sum of ICC1+ 5)]]=0,"NA",(SUMPRODUCT(V114,R114)+SUMPRODUCT(V128,R128))/ValbyACO_MCare[[#This Row],[2022 Member Months (sum of ICC1+ 5)]])</f>
        <v>NA</v>
      </c>
      <c r="W100" s="118" t="str">
        <f>IF(ValbyACO_MCare[[#This Row],[2022 Member Months (sum of ICC1+ 5)]]=0,"NA",(SUMPRODUCT(W114,R114)+SUMPRODUCT(W128,R128))/ValbyACO_MCare[[#This Row],[2022 Member Months (sum of ICC1+ 5)]])</f>
        <v>NA</v>
      </c>
      <c r="X100" s="118" t="str">
        <f>IF(ValbyACO_MCare[[#This Row],[2022 Member Months (sum of ICC1+ 5)]]=0,"NA",(SUMPRODUCT(X114,R114)+SUMPRODUCT(X128,R128))/ValbyACO_MCare[[#This Row],[2022 Member Months (sum of ICC1+ 5)]])</f>
        <v>NA</v>
      </c>
      <c r="Y100" s="118" t="str">
        <f>IF(ValbyACO_MCare[[#This Row],[2022 Member Months (sum of ICC1+ 5)]]=0,"NA",(SUMPRODUCT(Y114,R114)+SUMPRODUCT(Y128,R128))/ValbyACO_MCare[[#This Row],[2022 Member Months (sum of ICC1+ 5)]])</f>
        <v>NA</v>
      </c>
      <c r="Z100" s="118" t="str">
        <f>IF(ValbyACO_MCare[[#This Row],[2022 Member Months (sum of ICC1+ 5)]]=0,"NA",(SUMPRODUCT(Z114,R114)+SUMPRODUCT(Z128,R128))/ValbyACO_MCare[[#This Row],[2022 Member Months (sum of ICC1+ 5)]])</f>
        <v>NA</v>
      </c>
      <c r="AA100" s="118" t="str">
        <f>IF(ValbyACO_MCare[[#This Row],[2022 Member Months (sum of ICC1+ 5)]]=0,"NA",(SUMPRODUCT(AA114,R114)+SUMPRODUCT(AA128,R128))/ValbyACO_MCare[[#This Row],[2022 Member Months (sum of ICC1+ 5)]])</f>
        <v>NA</v>
      </c>
      <c r="AB100" s="118" t="str">
        <f>IF(ValbyACO_MCare[[#This Row],[2022 Member Months (sum of ICC1+ 5)]]=0,"NA",(SUMPRODUCT(AB114,R114)+SUMPRODUCT(AB128,R128))/ValbyACO_MCare[[#This Row],[2022 Member Months (sum of ICC1+ 5)]])</f>
        <v>NA</v>
      </c>
      <c r="AC100" s="118" t="str">
        <f>IF(ValbyACO_MCare[[#This Row],[2022 Member Months (sum of ICC1+ 5)]]=0,"NA",(SUMPRODUCT(AC114,R114)+SUMPRODUCT(AC128,R128))/ValbyACO_MCare[[#This Row],[2022 Member Months (sum of ICC1+ 5)]])</f>
        <v>NA</v>
      </c>
      <c r="AD100" s="118" t="str">
        <f>IF(ValbyACO_MCare[[#This Row],[2022 Member Months (sum of ICC1+ 5)]]=0,"NA",(SUMPRODUCT(AD114,R114)+SUMPRODUCT(AD128,R128))/ValbyACO_MCare[[#This Row],[2022 Member Months (sum of ICC1+ 5)]])</f>
        <v>NA</v>
      </c>
      <c r="AE100" s="119" t="str">
        <f>IF(ValbyACO_MCare[[#This Row],[2022 Member Months (sum of ICC1+ 5)]]=0,"NA",(SUMPRODUCT(AE114,R114)+SUMPRODUCT(AE128,R128))/ValbyACO_MCare[[#This Row],[2022 Member Months (sum of ICC1+ 5)]])</f>
        <v>NA</v>
      </c>
      <c r="AF100" s="160" t="str">
        <f>IFERROR(IF(ValbyACO_MCare[[#This Row],[2021 Member Months (sum of ICC1 + 5)]]=0,"NA",ValbyACO_MCare[[#This Row],[2022 Member Months (sum of ICC1+ 5)]]/ValbyACO_MCare[[#This Row],[2021 Member Months (sum of ICC1 + 5)]]-1),"NA")</f>
        <v>NA</v>
      </c>
      <c r="AG100" s="161" t="str">
        <f>IFERROR(IF(ValbyACO_MCare[[#This Row],[2021 Member Months (sum of ICC1 + 5)]]=0,"NA",ValbyACO_MCare[[#This Row],[2022 Claims: Hospital Inpatient]]/ValbyACO_MCare[[#This Row],[2021 Claims: Hospital Inpatient]]-1),"NA")</f>
        <v>NA</v>
      </c>
      <c r="AH100" s="162" t="str">
        <f>IFERROR(IF(ValbyACO_MCare[[#This Row],[2021 Member Months (sum of ICC1 + 5)]]=0,"NA",ValbyACO_MCare[[#This Row],[2022 Claims: Hospital Outpatient]]/ValbyACO_MCare[[#This Row],[2021 Claims: Hospital Outpatient]]-1),"NA")</f>
        <v>NA</v>
      </c>
      <c r="AI100" s="162" t="str">
        <f>IFERROR(IF(ValbyACO_MCare[[#This Row],[2021 Member Months (sum of ICC1 + 5)]]=0,"NA",ValbyACO_MCare[[#This Row],[2022 Claims: Professional, Primary Care]]/ValbyACO_MCare[[#This Row],[2021 Claims: Professional, Primary Care]]-1),"NA")</f>
        <v>NA</v>
      </c>
      <c r="AJ100" s="162" t="str">
        <f>IFERROR(IF(ValbyACO_MCare[[#This Row],[2021 Member Months (sum of ICC1 + 5)]]=0,"NA",ValbyACO_MCare[[#This Row],[2022 Claims: Professional, Specialty Care]]/ValbyACO_MCare[[#This Row],[2021 Claims: Professional, Specialty Care]]-1),"NA")</f>
        <v>NA</v>
      </c>
      <c r="AK100" s="162" t="str">
        <f>IFERROR(IF(ValbyACO_MCare[[#This Row],[2021 Member Months (sum of ICC1 + 5)]]=0,"NA", ValbyACO_MCare[[#This Row],[2022 Claims: Professional Other]]/ValbyACO_MCare[[#This Row],[2021 Claims: Professional Other]]-1),"NA")</f>
        <v>NA</v>
      </c>
      <c r="AL100" s="162" t="str">
        <f>IFERROR(IF(ValbyACO_MCare[[#This Row],[2021 Member Months (sum of ICC1 + 5)]]=0,"NA",ValbyACO_MCare[[#This Row],[2022 Claims: Pharmacy (Gross of Retail Pharmacy Rebates)]]/ValbyACO_MCare[[#This Row],[2021 Claims: Pharmacy (Gross of  Rebates)]]-1),"NA")</f>
        <v>NA</v>
      </c>
      <c r="AM100" s="162" t="str">
        <f>IFERROR(IF(ValbyACO_MCare[[#This Row],[2021 Member Months (sum of ICC1 + 5)]]=0,"NA",ValbyACO_MCare[[#This Row],[2022 Claims: Long-term Care]]/ValbyACO_MCare[[#This Row],[2021 Claims: Long-term Care]]-1),"NA")</f>
        <v>NA</v>
      </c>
      <c r="AN100" s="162" t="str">
        <f>IFERROR(IF(ValbyACO_MCare[[#This Row],[2021 Member Months (sum of ICC1 + 5)]]=0,"NA",ValbyACO_MCare[[#This Row],[2022 Claims: Other]]/ValbyACO_MCare[[#This Row],[2021 Claims: Other]]-1),"NA")</f>
        <v>NA</v>
      </c>
      <c r="AO100" s="163" t="str">
        <f>IFERROR(IF(ValbyACO_MCare[[#This Row],[2021 Member Months (sum of ICC1 + 5)]]=0,"NA",ValbyACO_MCare[[#This Row],[2022 TOTAL Non-Truncated Claims Expenses]]/ValbyACO_MCare[[#This Row],[2021 TOTAL Non-Truncated Claims Expenses]]-1),"NA")</f>
        <v>NA</v>
      </c>
      <c r="AP100" s="163" t="str">
        <f>IFERROR(IF(ValbyACO_MCare[[#This Row],[2021 Member Months (sum of ICC1 + 5)]]=0,"NA",ValbyACO_MCare[[#This Row],[2022 TOTAL Truncated Claims Expenses]]/ValbyACO_MCare[[#This Row],[2021 TOTAL Truncated Claims Expenses]]-1),"NA")</f>
        <v>NA</v>
      </c>
      <c r="AQ100" s="163" t="str">
        <f>IFERROR(IF(ValbyACO_MCare[[#This Row],[2021 Member Months (sum of ICC1 + 5)]]=0,"NA",ValbyACO_MCare[[#This Row],[2022 TOTAL Non-Claims Expenses]]/ValbyACO_MCare[[#This Row],[2021 TOTAL Non-Claims Expenses]]-1),"NA")</f>
        <v>NA</v>
      </c>
      <c r="AR100" s="163" t="str">
        <f>IFERROR(IF(ValbyACO_MCare[[#This Row],[2021 Member Months (sum of ICC1 + 5)]]=0,"NA",ValbyACO_MCare[[#This Row],[2022 TOTAL Non-Truncated Total Expenses]]/ValbyACO_MCare[[#This Row],[2021 TOTAL Non-Truncated Total Expenses]]-1),"NA")</f>
        <v>NA</v>
      </c>
      <c r="AS100" s="163" t="str">
        <f>IFERROR(IF(ValbyACO_MCare[[#This Row],[2021 Member Months (sum of ICC1 + 5)]]=0,"NA",ValbyACO_MCare[[#This Row],[2022 TOTAL Truncated Total Expenses]]/ValbyACO_MCare[[#This Row],[2021 TOTAL Truncated Total Expenses]]-1),"NA")</f>
        <v>NA</v>
      </c>
    </row>
    <row r="101" spans="1:45" x14ac:dyDescent="0.35">
      <c r="B101" s="251"/>
      <c r="C101" s="132" t="s">
        <v>118</v>
      </c>
      <c r="D101" s="257">
        <f t="shared" si="10"/>
        <v>0</v>
      </c>
      <c r="E101" s="270" t="str">
        <f>IF(ValbyACO_MCare[[#This Row],[2021 Member Months (sum of ICC1 + 5)]]=0,"NA",(SUMPRODUCT(E115,D115)+SUMPRODUCT(E129,D129))/ValbyACO_MCare[[#This Row],[2021 Member Months (sum of ICC1 + 5)]])</f>
        <v>NA</v>
      </c>
      <c r="F101" s="339" t="str">
        <f>IF(ValbyACO_MCare[[#This Row],[2021 Member Months (sum of ICC1 + 5)]]=0,"NA",(SUMPRODUCT(F115,D115)+SUMPRODUCT(F129,D129))/ValbyACO_MCare[[#This Row],[2021 Member Months (sum of ICC1 + 5)]])</f>
        <v>NA</v>
      </c>
      <c r="G101" s="339" t="str">
        <f>IF(ValbyACO_MCare[[#This Row],[2021 Member Months (sum of ICC1 + 5)]]=0,"NA",(SUMPRODUCT(G115,D115)+SUMPRODUCT(G129,D129))/ValbyACO_MCare[[#This Row],[2021 Member Months (sum of ICC1 + 5)]])</f>
        <v>NA</v>
      </c>
      <c r="H101" s="339" t="str">
        <f>IF(ValbyACO_MCare[[#This Row],[2021 Member Months (sum of ICC1 + 5)]]=0,"NA",(SUMPRODUCT(H115,D115)+SUMPRODUCT(H129,D129))/ValbyACO_MCare[[#This Row],[2021 Member Months (sum of ICC1 + 5)]])</f>
        <v>NA</v>
      </c>
      <c r="I101" s="339" t="str">
        <f>IF(ValbyACO_MCare[[#This Row],[2021 Member Months (sum of ICC1 + 5)]]=0,"NA",(SUMPRODUCT(I115,D115)+SUMPRODUCT(I129,D129))/ValbyACO_MCare[[#This Row],[2021 Member Months (sum of ICC1 + 5)]])</f>
        <v>NA</v>
      </c>
      <c r="J101" s="339" t="str">
        <f>IF(ValbyACO_MCare[[#This Row],[2021 Member Months (sum of ICC1 + 5)]]=0,"NA",(SUMPRODUCT(J115,D115)+SUMPRODUCT(J129,D129))/ValbyACO_MCare[[#This Row],[2021 Member Months (sum of ICC1 + 5)]])</f>
        <v>NA</v>
      </c>
      <c r="K101" s="339" t="str">
        <f>IF(ValbyACO_MCare[[#This Row],[2021 Member Months (sum of ICC1 + 5)]]=0,"NA",(SUMPRODUCT(K115,D115)+SUMPRODUCT(K129,D129))/ValbyACO_MCare[[#This Row],[2021 Member Months (sum of ICC1 + 5)]])</f>
        <v>NA</v>
      </c>
      <c r="L101" s="339" t="str">
        <f>IF(ValbyACO_MCare[[#This Row],[2021 Member Months (sum of ICC1 + 5)]]=0,"NA",(SUMPRODUCT(L115,D115)+SUMPRODUCT(L129,D129))/ValbyACO_MCare[[#This Row],[2021 Member Months (sum of ICC1 + 5)]])</f>
        <v>NA</v>
      </c>
      <c r="M101" s="260" t="str">
        <f>IF(ValbyACO_MCare[[#This Row],[2021 Member Months (sum of ICC1 + 5)]]=0,"NA",(SUMPRODUCT(M115,D115)+SUMPRODUCT(M129,D129))/ValbyACO_MCare[[#This Row],[2021 Member Months (sum of ICC1 + 5)]])</f>
        <v>NA</v>
      </c>
      <c r="N101" s="260" t="str">
        <f>IF(ValbyACO_MCare[[#This Row],[2021 Member Months (sum of ICC1 + 5)]]=0,"NA",(SUMPRODUCT(N115,D115)+SUMPRODUCT(N129,D129))/ValbyACO_MCare[[#This Row],[2021 Member Months (sum of ICC1 + 5)]])</f>
        <v>NA</v>
      </c>
      <c r="O101" s="260" t="str">
        <f>IF(ValbyACO_MCare[[#This Row],[2021 Member Months (sum of ICC1 + 5)]]=0,"NA",(SUMPRODUCT(O115,D115)+SUMPRODUCT(O129,D129))/ValbyACO_MCare[[#This Row],[2021 Member Months (sum of ICC1 + 5)]])</f>
        <v>NA</v>
      </c>
      <c r="P101" s="260" t="str">
        <f>IF(ValbyACO_MCare[[#This Row],[2021 Member Months (sum of ICC1 + 5)]]=0,"NA",(SUMPRODUCT(P115,D115)+SUMPRODUCT(P129,D129))/ValbyACO_MCare[[#This Row],[2021 Member Months (sum of ICC1 + 5)]])</f>
        <v>NA</v>
      </c>
      <c r="Q101" s="261" t="str">
        <f>IF(ValbyACO_MCare[[#This Row],[2021 Member Months (sum of ICC1 + 5)]]=0,"NA",(SUMPRODUCT(Q115,D115)+SUMPRODUCT(Q129,D129))/ValbyACO_MCare[[#This Row],[2021 Member Months (sum of ICC1 + 5)]])</f>
        <v>NA</v>
      </c>
      <c r="R101" s="257">
        <f t="shared" si="11"/>
        <v>0</v>
      </c>
      <c r="S101" s="258" t="str">
        <f>IF(ValbyACO_MCare[[#This Row],[2022 Member Months (sum of ICC1+ 5)]]=0,"NA",(SUMPRODUCT(S115,R115)+SUMPRODUCT(S129,R129))/ValbyACO_MCare[[#This Row],[2022 Member Months (sum of ICC1+ 5)]])</f>
        <v>NA</v>
      </c>
      <c r="T101" s="259" t="str">
        <f>IF(ValbyACO_MCare[[#This Row],[2022 Member Months (sum of ICC1+ 5)]]=0,"NA",(SUMPRODUCT(T115,R115)+SUMPRODUCT(T129,R129))/ValbyACO_MCare[[#This Row],[2022 Member Months (sum of ICC1+ 5)]])</f>
        <v>NA</v>
      </c>
      <c r="U101" s="259" t="str">
        <f>IF(ValbyACO_MCare[[#This Row],[2022 Member Months (sum of ICC1+ 5)]]=0,"NA",(SUMPRODUCT(U115,R115)+SUMPRODUCT(U129,R129))/ValbyACO_MCare[[#This Row],[2022 Member Months (sum of ICC1+ 5)]])</f>
        <v>NA</v>
      </c>
      <c r="V101" s="259" t="str">
        <f>IF(ValbyACO_MCare[[#This Row],[2022 Member Months (sum of ICC1+ 5)]]=0,"NA",(SUMPRODUCT(V115,R115)+SUMPRODUCT(V129,R129))/ValbyACO_MCare[[#This Row],[2022 Member Months (sum of ICC1+ 5)]])</f>
        <v>NA</v>
      </c>
      <c r="W101" s="259" t="str">
        <f>IF(ValbyACO_MCare[[#This Row],[2022 Member Months (sum of ICC1+ 5)]]=0,"NA",(SUMPRODUCT(W115,R115)+SUMPRODUCT(W129,R129))/ValbyACO_MCare[[#This Row],[2022 Member Months (sum of ICC1+ 5)]])</f>
        <v>NA</v>
      </c>
      <c r="X101" s="259" t="str">
        <f>IF(ValbyACO_MCare[[#This Row],[2022 Member Months (sum of ICC1+ 5)]]=0,"NA",(SUMPRODUCT(X115,R115)+SUMPRODUCT(X129,R129))/ValbyACO_MCare[[#This Row],[2022 Member Months (sum of ICC1+ 5)]])</f>
        <v>NA</v>
      </c>
      <c r="Y101" s="259" t="str">
        <f>IF(ValbyACO_MCare[[#This Row],[2022 Member Months (sum of ICC1+ 5)]]=0,"NA",(SUMPRODUCT(Y115,R115)+SUMPRODUCT(Y129,R129))/ValbyACO_MCare[[#This Row],[2022 Member Months (sum of ICC1+ 5)]])</f>
        <v>NA</v>
      </c>
      <c r="Z101" s="259" t="str">
        <f>IF(ValbyACO_MCare[[#This Row],[2022 Member Months (sum of ICC1+ 5)]]=0,"NA",(SUMPRODUCT(Z115,R115)+SUMPRODUCT(Z129,R129))/ValbyACO_MCare[[#This Row],[2022 Member Months (sum of ICC1+ 5)]])</f>
        <v>NA</v>
      </c>
      <c r="AA101" s="260" t="str">
        <f>IF(ValbyACO_MCare[[#This Row],[2022 Member Months (sum of ICC1+ 5)]]=0,"NA",(SUMPRODUCT(AA115,R115)+SUMPRODUCT(AA129,R129))/ValbyACO_MCare[[#This Row],[2022 Member Months (sum of ICC1+ 5)]])</f>
        <v>NA</v>
      </c>
      <c r="AB101" s="260" t="str">
        <f>IF(ValbyACO_MCare[[#This Row],[2022 Member Months (sum of ICC1+ 5)]]=0,"NA",(SUMPRODUCT(AB115,R115)+SUMPRODUCT(AB129,R129))/ValbyACO_MCare[[#This Row],[2022 Member Months (sum of ICC1+ 5)]])</f>
        <v>NA</v>
      </c>
      <c r="AC101" s="260" t="str">
        <f>IF(ValbyACO_MCare[[#This Row],[2022 Member Months (sum of ICC1+ 5)]]=0,"NA",(SUMPRODUCT(AC115,R115)+SUMPRODUCT(AC129,R129))/ValbyACO_MCare[[#This Row],[2022 Member Months (sum of ICC1+ 5)]])</f>
        <v>NA</v>
      </c>
      <c r="AD101" s="260" t="str">
        <f>IF(ValbyACO_MCare[[#This Row],[2022 Member Months (sum of ICC1+ 5)]]=0,"NA",(SUMPRODUCT(AD115,R115)+SUMPRODUCT(AD129,R129))/ValbyACO_MCare[[#This Row],[2022 Member Months (sum of ICC1+ 5)]])</f>
        <v>NA</v>
      </c>
      <c r="AE101" s="261" t="str">
        <f>IF(ValbyACO_MCare[[#This Row],[2022 Member Months (sum of ICC1+ 5)]]=0,"NA",(SUMPRODUCT(AE115,R115)+SUMPRODUCT(AE129,R129))/ValbyACO_MCare[[#This Row],[2022 Member Months (sum of ICC1+ 5)]])</f>
        <v>NA</v>
      </c>
      <c r="AF101" s="262" t="str">
        <f>IFERROR(IF(ValbyACO_MCare[[#This Row],[2021 Member Months (sum of ICC1 + 5)]]=0,"NA",ValbyACO_MCare[[#This Row],[2022 Member Months (sum of ICC1+ 5)]]/ValbyACO_MCare[[#This Row],[2021 Member Months (sum of ICC1 + 5)]]-1),"NA")</f>
        <v>NA</v>
      </c>
      <c r="AG101" s="161" t="str">
        <f>IFERROR(IF(ValbyACO_MCare[[#This Row],[2021 Member Months (sum of ICC1 + 5)]]=0,"NA",ValbyACO_MCare[[#This Row],[2022 Claims: Hospital Inpatient]]/ValbyACO_MCare[[#This Row],[2021 Claims: Hospital Inpatient]]-1),"NA")</f>
        <v>NA</v>
      </c>
      <c r="AH101" s="162" t="str">
        <f>IFERROR(IF(ValbyACO_MCare[[#This Row],[2021 Member Months (sum of ICC1 + 5)]]=0,"NA",ValbyACO_MCare[[#This Row],[2022 Claims: Hospital Outpatient]]/ValbyACO_MCare[[#This Row],[2021 Claims: Hospital Outpatient]]-1),"NA")</f>
        <v>NA</v>
      </c>
      <c r="AI101" s="162" t="str">
        <f>IFERROR(IF(ValbyACO_MCare[[#This Row],[2021 Member Months (sum of ICC1 + 5)]]=0,"NA",ValbyACO_MCare[[#This Row],[2022 Claims: Professional, Primary Care]]/ValbyACO_MCare[[#This Row],[2021 Claims: Professional, Primary Care]]-1),"NA")</f>
        <v>NA</v>
      </c>
      <c r="AJ101" s="162" t="str">
        <f>IFERROR(IF(ValbyACO_MCare[[#This Row],[2021 Member Months (sum of ICC1 + 5)]]=0,"NA",ValbyACO_MCare[[#This Row],[2022 Claims: Professional, Specialty Care]]/ValbyACO_MCare[[#This Row],[2021 Claims: Professional, Specialty Care]]-1),"NA")</f>
        <v>NA</v>
      </c>
      <c r="AK101" s="162" t="str">
        <f>IFERROR(IF(ValbyACO_MCare[[#This Row],[2021 Member Months (sum of ICC1 + 5)]]=0,"NA", ValbyACO_MCare[[#This Row],[2022 Claims: Professional Other]]/ValbyACO_MCare[[#This Row],[2021 Claims: Professional Other]]-1),"NA")</f>
        <v>NA</v>
      </c>
      <c r="AL101" s="162" t="str">
        <f>IFERROR(IF(ValbyACO_MCare[[#This Row],[2021 Member Months (sum of ICC1 + 5)]]=0,"NA",ValbyACO_MCare[[#This Row],[2022 Claims: Pharmacy (Gross of Retail Pharmacy Rebates)]]/ValbyACO_MCare[[#This Row],[2021 Claims: Pharmacy (Gross of  Rebates)]]-1),"NA")</f>
        <v>NA</v>
      </c>
      <c r="AM101" s="162" t="str">
        <f>IFERROR(IF(ValbyACO_MCare[[#This Row],[2021 Member Months (sum of ICC1 + 5)]]=0,"NA",ValbyACO_MCare[[#This Row],[2022 Claims: Long-term Care]]/ValbyACO_MCare[[#This Row],[2021 Claims: Long-term Care]]-1),"NA")</f>
        <v>NA</v>
      </c>
      <c r="AN101" s="162" t="str">
        <f>IFERROR(IF(ValbyACO_MCare[[#This Row],[2021 Member Months (sum of ICC1 + 5)]]=0,"NA",ValbyACO_MCare[[#This Row],[2022 Claims: Other]]/ValbyACO_MCare[[#This Row],[2021 Claims: Other]]-1),"NA")</f>
        <v>NA</v>
      </c>
      <c r="AO101" s="163" t="str">
        <f>IFERROR(IF(ValbyACO_MCare[[#This Row],[2021 Member Months (sum of ICC1 + 5)]]=0,"NA",ValbyACO_MCare[[#This Row],[2022 TOTAL Non-Truncated Claims Expenses]]/ValbyACO_MCare[[#This Row],[2021 TOTAL Non-Truncated Claims Expenses]]-1),"NA")</f>
        <v>NA</v>
      </c>
      <c r="AP101" s="163" t="str">
        <f>IFERROR(IF(ValbyACO_MCare[[#This Row],[2021 Member Months (sum of ICC1 + 5)]]=0,"NA",ValbyACO_MCare[[#This Row],[2022 TOTAL Truncated Claims Expenses]]/ValbyACO_MCare[[#This Row],[2021 TOTAL Truncated Claims Expenses]]-1),"NA")</f>
        <v>NA</v>
      </c>
      <c r="AQ101" s="163" t="str">
        <f>IFERROR(IF(ValbyACO_MCare[[#This Row],[2021 Member Months (sum of ICC1 + 5)]]=0,"NA",ValbyACO_MCare[[#This Row],[2022 TOTAL Non-Claims Expenses]]/ValbyACO_MCare[[#This Row],[2021 TOTAL Non-Claims Expenses]]-1),"NA")</f>
        <v>NA</v>
      </c>
      <c r="AR101" s="163" t="str">
        <f>IFERROR(IF(ValbyACO_MCare[[#This Row],[2021 Member Months (sum of ICC1 + 5)]]=0,"NA",ValbyACO_MCare[[#This Row],[2022 TOTAL Non-Truncated Total Expenses]]/ValbyACO_MCare[[#This Row],[2021 TOTAL Non-Truncated Total Expenses]]-1),"NA")</f>
        <v>NA</v>
      </c>
      <c r="AS101" s="163" t="str">
        <f>IFERROR(IF(ValbyACO_MCare[[#This Row],[2021 Member Months (sum of ICC1 + 5)]]=0,"NA",ValbyACO_MCare[[#This Row],[2022 TOTAL Truncated Total Expenses]]/ValbyACO_MCare[[#This Row],[2021 TOTAL Truncated Total Expenses]]-1),"NA")</f>
        <v>NA</v>
      </c>
    </row>
    <row r="102" spans="1:45" ht="15" thickBot="1" x14ac:dyDescent="0.4">
      <c r="B102" s="255"/>
      <c r="C102" s="256" t="s">
        <v>119</v>
      </c>
      <c r="D102" s="257">
        <f>D101</f>
        <v>0</v>
      </c>
      <c r="E102" s="295"/>
      <c r="F102" s="338"/>
      <c r="G102" s="338"/>
      <c r="H102" s="338"/>
      <c r="I102" s="338"/>
      <c r="J102" s="339" t="str">
        <f>IF(ValbyACO_MCare[[#This Row],[2021 Member Months (sum of ICC1 + 5)]]=0,"NA",(SUMPRODUCT(J116,D116)+SUMPRODUCT(J130,D130))/ValbyACO_MCare[[#This Row],[2021 Member Months (sum of ICC1 + 5)]])</f>
        <v>NA</v>
      </c>
      <c r="K102" s="338"/>
      <c r="L102" s="338"/>
      <c r="M102" s="260" t="str">
        <f>IF(ValbyACO_MCare[[#This Row],[2021 Member Months (sum of ICC1 + 5)]]=0,"NA",(SUMPRODUCT(M116,D116)+SUMPRODUCT(M130,D130))/ValbyACO_MCare[[#This Row],[2021 Member Months (sum of ICC1 + 5)]])</f>
        <v>NA</v>
      </c>
      <c r="N102" s="260" t="str">
        <f>IF(ValbyACO_MCare[[#This Row],[2021 Member Months (sum of ICC1 + 5)]]=0,"NA",(SUMPRODUCT(N116,D116)+SUMPRODUCT(N130,D130))/ValbyACO_MCare[[#This Row],[2021 Member Months (sum of ICC1 + 5)]])</f>
        <v>NA</v>
      </c>
      <c r="O102" s="260" t="str">
        <f>IF(ValbyACO_MCare[[#This Row],[2021 Member Months (sum of ICC1 + 5)]]=0,"NA",(SUMPRODUCT(O116,D116)+SUMPRODUCT(O130,D130))/ValbyACO_MCare[[#This Row],[2021 Member Months (sum of ICC1 + 5)]])</f>
        <v>NA</v>
      </c>
      <c r="P102" s="260" t="str">
        <f>IF(ValbyACO_MCare[[#This Row],[2021 Member Months (sum of ICC1 + 5)]]=0,"NA",(SUMPRODUCT(P116,D116)+SUMPRODUCT(P130,D130))/ValbyACO_MCare[[#This Row],[2021 Member Months (sum of ICC1 + 5)]])</f>
        <v>NA</v>
      </c>
      <c r="Q102" s="128" t="str">
        <f>IF(ValbyACO_MCare[[#This Row],[2021 Member Months (sum of ICC1 + 5)]]=0,"NA",(SUMPRODUCT(Q116,D116)+SUMPRODUCT(Q130,D130))/ValbyACO_MCare[[#This Row],[2021 Member Months (sum of ICC1 + 5)]])</f>
        <v>NA</v>
      </c>
      <c r="R102" s="257">
        <f>R101</f>
        <v>0</v>
      </c>
      <c r="S102" s="334"/>
      <c r="T102" s="296"/>
      <c r="U102" s="296"/>
      <c r="V102" s="296"/>
      <c r="W102" s="296"/>
      <c r="X102" s="259" t="str">
        <f>IF(ValbyACO_MCare[[#This Row],[2022 Member Months (sum of ICC1+ 5)]]=0,"NA",(SUMPRODUCT(X116,R116)+SUMPRODUCT(X130,R130))/ValbyACO_MCare[[#This Row],[2022 Member Months (sum of ICC1+ 5)]])</f>
        <v>NA</v>
      </c>
      <c r="Y102" s="296"/>
      <c r="Z102" s="296"/>
      <c r="AA102" s="260" t="str">
        <f>IF(ValbyACO_MCare[[#This Row],[2022 Member Months (sum of ICC1+ 5)]]=0,"NA",(SUMPRODUCT(AA116,R116)+SUMPRODUCT(AA130,R130))/ValbyACO_MCare[[#This Row],[2022 Member Months (sum of ICC1+ 5)]])</f>
        <v>NA</v>
      </c>
      <c r="AB102" s="260" t="str">
        <f>IF(ValbyACO_MCare[[#This Row],[2022 Member Months (sum of ICC1+ 5)]]=0,"NA",(SUMPRODUCT(AB116,R116)+SUMPRODUCT(AB130,R130))/ValbyACO_MCare[[#This Row],[2022 Member Months (sum of ICC1+ 5)]])</f>
        <v>NA</v>
      </c>
      <c r="AC102" s="260" t="str">
        <f>IF(ValbyACO_MCare[[#This Row],[2022 Member Months (sum of ICC1+ 5)]]=0,"NA",(SUMPRODUCT(AC116,R116)+SUMPRODUCT(AC130,R130))/ValbyACO_MCare[[#This Row],[2022 Member Months (sum of ICC1+ 5)]])</f>
        <v>NA</v>
      </c>
      <c r="AD102" s="260" t="str">
        <f>IF(ValbyACO_MCare[[#This Row],[2022 Member Months (sum of ICC1+ 5)]]=0,"NA",(SUMPRODUCT(AD116,R116)+SUMPRODUCT(AD130,R130))/ValbyACO_MCare[[#This Row],[2022 Member Months (sum of ICC1+ 5)]])</f>
        <v>NA</v>
      </c>
      <c r="AE102" s="260" t="str">
        <f>IF(ValbyACO_MCare[[#This Row],[2022 Member Months (sum of ICC1+ 5)]]=0,"NA",(SUMPRODUCT(AE116,R116)+SUMPRODUCT(AE130,R130))/ValbyACO_MCare[[#This Row],[2022 Member Months (sum of ICC1+ 5)]])</f>
        <v>NA</v>
      </c>
      <c r="AF102" s="380" t="str">
        <f>IFERROR(IF(ValbyACO_MCare[[#This Row],[2021 Member Months (sum of ICC1 + 5)]]=0,"NA",ValbyACO_MCare[[#This Row],[2022 Member Months (sum of ICC1+ 5)]]/ValbyACO_MCare[[#This Row],[2021 Member Months (sum of ICC1 + 5)]]-1),"NA")</f>
        <v>NA</v>
      </c>
      <c r="AG102" s="335"/>
      <c r="AH102" s="336"/>
      <c r="AI102" s="336"/>
      <c r="AJ102" s="336"/>
      <c r="AK102" s="336"/>
      <c r="AL102" s="162" t="str">
        <f>IFERROR(IF(ValbyACO_MCare[[#This Row],[2021 Member Months (sum of ICC1 + 5)]]=0,"NA",ValbyACO_MCare[[#This Row],[2022 Claims: Pharmacy (Gross of Retail Pharmacy Rebates)]]/ValbyACO_MCare[[#This Row],[2021 Claims: Pharmacy (Gross of  Rebates)]]-1),"NA")</f>
        <v>NA</v>
      </c>
      <c r="AM102" s="336"/>
      <c r="AN102" s="336"/>
      <c r="AO102" s="163" t="str">
        <f>IFERROR(IF(ValbyACO_MCare[[#This Row],[2021 Member Months (sum of ICC1 + 5)]]=0,"NA",ValbyACO_MCare[[#This Row],[2022 TOTAL Non-Truncated Claims Expenses]]/ValbyACO_MCare[[#This Row],[2021 TOTAL Non-Truncated Claims Expenses]]-1),"NA")</f>
        <v>NA</v>
      </c>
      <c r="AP102" s="163" t="str">
        <f>IFERROR(IF(ValbyACO_MCare[[#This Row],[2021 Member Months (sum of ICC1 + 5)]]=0,"NA",ValbyACO_MCare[[#This Row],[2022 TOTAL Truncated Claims Expenses]]/ValbyACO_MCare[[#This Row],[2021 TOTAL Truncated Claims Expenses]]-1),"NA")</f>
        <v>NA</v>
      </c>
      <c r="AQ102" s="163" t="str">
        <f>IFERROR(IF(ValbyACO_MCare[[#This Row],[2021 Member Months (sum of ICC1 + 5)]]=0,"NA",ValbyACO_MCare[[#This Row],[2022 TOTAL Non-Claims Expenses]]/ValbyACO_MCare[[#This Row],[2021 TOTAL Non-Claims Expenses]]-1),"NA")</f>
        <v>NA</v>
      </c>
      <c r="AR102" s="163" t="str">
        <f>IFERROR(IF(ValbyACO_MCare[[#This Row],[2021 Member Months (sum of ICC1 + 5)]]=0,"NA",ValbyACO_MCare[[#This Row],[2022 TOTAL Non-Truncated Total Expenses]]/ValbyACO_MCare[[#This Row],[2021 TOTAL Non-Truncated Total Expenses]]-1),"NA")</f>
        <v>NA</v>
      </c>
      <c r="AS102" s="163" t="str">
        <f>IFERROR(IF(ValbyACO_MCare[[#This Row],[2021 Member Months (sum of ICC1 + 5)]]=0,"NA",ValbyACO_MCare[[#This Row],[2022 TOTAL Truncated Total Expenses]]/ValbyACO_MCare[[#This Row],[2021 TOTAL Truncated Total Expenses]]-1),"NA")</f>
        <v>NA</v>
      </c>
    </row>
    <row r="103" spans="1:45" x14ac:dyDescent="0.35">
      <c r="B103" s="15"/>
      <c r="C103" s="15"/>
      <c r="D103" s="300"/>
      <c r="E103" s="301"/>
      <c r="F103" s="301"/>
      <c r="G103" s="301"/>
      <c r="H103" s="301"/>
      <c r="I103" s="301"/>
      <c r="J103" s="301"/>
      <c r="K103" s="301"/>
      <c r="L103" s="301"/>
      <c r="M103" s="302"/>
      <c r="N103" s="302"/>
      <c r="O103" s="302"/>
      <c r="P103" s="302"/>
      <c r="Q103" s="302"/>
      <c r="R103" s="300"/>
      <c r="S103" s="302"/>
      <c r="T103" s="302"/>
      <c r="U103" s="302"/>
      <c r="V103" s="302"/>
      <c r="W103" s="302"/>
      <c r="X103" s="302"/>
      <c r="Y103" s="302"/>
      <c r="Z103" s="302"/>
      <c r="AA103" s="302"/>
      <c r="AB103" s="302"/>
      <c r="AC103" s="302"/>
      <c r="AD103" s="302"/>
      <c r="AE103" s="302"/>
      <c r="AF103" s="303"/>
      <c r="AG103" s="303"/>
      <c r="AH103" s="303"/>
      <c r="AI103" s="303"/>
      <c r="AJ103" s="303"/>
      <c r="AK103" s="303"/>
      <c r="AL103" s="303"/>
      <c r="AM103" s="303"/>
      <c r="AN103" s="303"/>
      <c r="AO103" s="303"/>
      <c r="AP103" s="303"/>
      <c r="AQ103" s="303"/>
      <c r="AR103" s="303"/>
      <c r="AS103" s="303"/>
    </row>
    <row r="104" spans="1:45" ht="16" thickBot="1" x14ac:dyDescent="0.4">
      <c r="B104" s="42" t="s">
        <v>206</v>
      </c>
      <c r="C104" s="42"/>
      <c r="E104" s="15">
        <v>1</v>
      </c>
    </row>
    <row r="105" spans="1:45" ht="43.5" x14ac:dyDescent="0.35">
      <c r="B105" s="284" t="s">
        <v>159</v>
      </c>
      <c r="C105" s="285" t="s">
        <v>542</v>
      </c>
      <c r="D105" s="323" t="s">
        <v>544</v>
      </c>
      <c r="E105" s="309" t="s">
        <v>545</v>
      </c>
      <c r="F105" s="309" t="s">
        <v>546</v>
      </c>
      <c r="G105" s="309" t="s">
        <v>547</v>
      </c>
      <c r="H105" s="309" t="s">
        <v>548</v>
      </c>
      <c r="I105" s="309" t="s">
        <v>549</v>
      </c>
      <c r="J105" s="309" t="s">
        <v>665</v>
      </c>
      <c r="K105" s="309" t="s">
        <v>550</v>
      </c>
      <c r="L105" s="309" t="s">
        <v>551</v>
      </c>
      <c r="M105" s="309" t="s">
        <v>552</v>
      </c>
      <c r="N105" s="309" t="s">
        <v>553</v>
      </c>
      <c r="O105" s="309" t="s">
        <v>554</v>
      </c>
      <c r="P105" s="309" t="s">
        <v>555</v>
      </c>
      <c r="Q105" s="324" t="s">
        <v>556</v>
      </c>
      <c r="R105" s="323" t="s">
        <v>662</v>
      </c>
      <c r="S105" s="309" t="s">
        <v>649</v>
      </c>
      <c r="T105" s="309" t="s">
        <v>650</v>
      </c>
      <c r="U105" s="309" t="s">
        <v>651</v>
      </c>
      <c r="V105" s="309" t="s">
        <v>652</v>
      </c>
      <c r="W105" s="309" t="s">
        <v>653</v>
      </c>
      <c r="X105" s="309" t="s">
        <v>654</v>
      </c>
      <c r="Y105" s="309" t="s">
        <v>655</v>
      </c>
      <c r="Z105" s="309" t="s">
        <v>656</v>
      </c>
      <c r="AA105" s="309" t="s">
        <v>657</v>
      </c>
      <c r="AB105" s="309" t="s">
        <v>658</v>
      </c>
      <c r="AC105" s="309" t="s">
        <v>659</v>
      </c>
      <c r="AD105" s="309" t="s">
        <v>660</v>
      </c>
      <c r="AE105" s="324" t="s">
        <v>661</v>
      </c>
      <c r="AF105" s="399" t="s">
        <v>557</v>
      </c>
      <c r="AG105" s="400" t="s">
        <v>558</v>
      </c>
      <c r="AH105" s="400" t="s">
        <v>559</v>
      </c>
      <c r="AI105" s="400" t="s">
        <v>560</v>
      </c>
      <c r="AJ105" s="400" t="s">
        <v>561</v>
      </c>
      <c r="AK105" s="400" t="s">
        <v>562</v>
      </c>
      <c r="AL105" s="400" t="s">
        <v>563</v>
      </c>
      <c r="AM105" s="400" t="s">
        <v>564</v>
      </c>
      <c r="AN105" s="400" t="s">
        <v>565</v>
      </c>
      <c r="AO105" s="400" t="s">
        <v>566</v>
      </c>
      <c r="AP105" s="400" t="s">
        <v>567</v>
      </c>
      <c r="AQ105" s="400" t="s">
        <v>568</v>
      </c>
      <c r="AR105" s="400" t="s">
        <v>569</v>
      </c>
      <c r="AS105" s="400" t="s">
        <v>570</v>
      </c>
    </row>
    <row r="106" spans="1:45" x14ac:dyDescent="0.35">
      <c r="A106" s="129"/>
      <c r="B106" s="250">
        <v>101</v>
      </c>
      <c r="C106" s="291" t="s">
        <v>167</v>
      </c>
      <c r="D106" s="272">
        <f>SUMIFS(ACOAETME2021[[#All],[Member Months]], ACOAETME2021[[#All],[Insurance Category Code]], $E$104, ACOAETME2021[[#All],[ACO/AE or Insurer Overall Organization ID]], ValbyACO_ICC1[[#This Row],[Org ID]])</f>
        <v>0</v>
      </c>
      <c r="E106" s="268" t="str">
        <f>IFERROR(IF(ValbyACO_ICC1[[#This Row],[2021 Member Months]]=0,"NA",SUMIFS(ACOAETME2021[[#All],[Claims: Hospital Inpatient]], ACOAETME2021[[#All],[Insurance Category Code]], $E$104, ACOAETME2021[[#All],[ACO/AE or Insurer Overall Organization ID]], ValbyACO_ICC1[[#This Row],[Org ID]])/ValbyACO_ICC1[[#This Row],[2021 Member Months]]), "NA")</f>
        <v>NA</v>
      </c>
      <c r="F106" s="268" t="str">
        <f>IFERROR(IF(ValbyACO_ICC1[[#This Row],[2021 Member Months]]=0,"NA",SUMIFS(ACOAETME2021[[#All],[Claims: Hospital Outpatient]], ACOAETME2021[[#All],[Insurance Category Code]], $E$104, ACOAETME2021[[#All],[ACO/AE or Insurer Overall Organization ID]], ValbyACO_ICC1[[#This Row],[Org ID]])/ValbyACO_ICC1[[#This Row],[2021 Member Months]]), "NA")</f>
        <v>NA</v>
      </c>
      <c r="G106" s="268" t="str">
        <f>IFERROR(IF(ValbyACO_ICC1[[#This Row],[2021 Member Months]]=0,"NA",SUMIFS(ACOAETME2021[[#All],[Claims: Professional, Primary Care]], ACOAETME2021[[#All],[Insurance Category Code]], $E$104, ACOAETME2021[[#All],[ACO/AE or Insurer Overall Organization ID]], ValbyACO_ICC1[[#This Row],[Org ID]])/ValbyACO_ICC1[[#This Row],[2021 Member Months]]), "NA")</f>
        <v>NA</v>
      </c>
      <c r="H106" s="268" t="str">
        <f>IFERROR(IF(ValbyACO_ICC1[[#This Row],[2021 Member Months]]=0,"NA",SUMIFS(ACOAETME2021[[#All],[Claims: Professional, Specialty Care]], ACOAETME2021[[#All],[Insurance Category Code]], $E$104, ACOAETME2021[[#All],[ACO/AE or Insurer Overall Organization ID]], ValbyACO_ICC1[[#This Row],[Org ID]])/ValbyACO_ICC1[[#This Row],[2021 Member Months]]), "NA")</f>
        <v>NA</v>
      </c>
      <c r="I106" s="268" t="str">
        <f>IFERROR(IF(ValbyACO_ICC1[[#This Row],[2021 Member Months]]=0,"NA",SUMIFS(ACOAETME2021[[#All],[Claims: Professional Other]], ACOAETME2021[[#All],[Insurance Category Code]], $E$104, ACOAETME2021[[#All],[ACO/AE or Insurer Overall Organization ID]], ValbyACO_ICC1[[#This Row],[Org ID]])/ValbyACO_ICC1[[#This Row],[2021 Member Months]]), "NA")</f>
        <v>NA</v>
      </c>
      <c r="J106" s="268" t="str">
        <f>IFERROR(IF(ValbyACO_ICC1[[#This Row],[2021 Member Months]]=0,"NA",SUMIFS(ACOAETME2021[[#All],[Claims: Pharmacy]], ACOAETME2021[[#All],[Insurance Category Code]], $E$104, ACOAETME2021[[#All],[ACO/AE or Insurer Overall Organization ID]], ValbyACO_ICC1[[#This Row],[Org ID]])/ValbyACO_ICC1[[#This Row],[2021 Member Months]]), "NA")</f>
        <v>NA</v>
      </c>
      <c r="K106" s="268" t="str">
        <f>IFERROR(IF(ValbyACO_ICC1[[#This Row],[2021 Member Months]]=0,"NA",SUMIFS(ACOAETME2021[[#All],[Claims: Long-Term Care]], ACOAETME2021[[#All],[Insurance Category Code]], $E$104, ACOAETME2021[[#All],[ACO/AE or Insurer Overall Organization ID]], ValbyACO_ICC1[[#This Row],[Org ID]])/ValbyACO_ICC1[[#This Row],[2021 Member Months]]), "NA")</f>
        <v>NA</v>
      </c>
      <c r="L106" s="268" t="str">
        <f>IFERROR(IF(ValbyACO_ICC1[[#This Row],[2021 Member Months]]=0,"NA",SUMIFS(ACOAETME2021[[#All],[Claims: Other]], ACOAETME2021[[#All],[Insurance Category Code]], $E$104, ACOAETME2021[[#All],[ACO/AE or Insurer Overall Organization ID]], ValbyACO_ICC1[[#This Row],[Org ID]])/ValbyACO_ICC1[[#This Row],[2021 Member Months]]), "NA")</f>
        <v>NA</v>
      </c>
      <c r="M106" s="118" t="str">
        <f>IF(ValbyACO_ICC1[[#This Row],[2021 Member Months]]=0,"NA",SUMIFS(ACOAETME2021[[#All],[TOTAL Non-Truncated Unadjusted Claims Expenses]], ACOAETME2021[[#All],[Insurance Category Code]], $E$104, ACOAETME2021[[#All],[ACO/AE or Insurer Overall Organization ID]], ValbyACO_ICC1[[#This Row],[Org ID]])/ValbyACO_ICC1[[#This Row],[2021 Member Months]])</f>
        <v>NA</v>
      </c>
      <c r="N106" s="118" t="str">
        <f>IF(ValbyACO_ICC1[[#This Row],[2021 Member Months]]=0,"NA",SUMIFS(ACOAETME2021[[#All],[TOTAL Truncated Unadjusted Claims Expenses (A19 - A17)]], ACOAETME2021[[#All],[Insurance Category Code]], $E$104, ACOAETME2021[[#All],[ACO/AE or Insurer Overall Organization ID]], ValbyACO_ICC1[[#This Row],[Org ID]])/ValbyACO_ICC1[[#This Row],[2021 Member Months]])</f>
        <v>NA</v>
      </c>
      <c r="O106" s="118" t="str">
        <f>IF(ValbyACO_ICC1[[#This Row],[2021 Member Months]]=0,"NA",SUMIFS(ACOAETME2021[[#All],[TOTAL Non-Claims Expenses]], ACOAETME2021[[#All],[Insurance Category Code]], $E$104, ACOAETME2021[[#All],[ACO/AE or Insurer Overall Organization ID]], ValbyACO_ICC1[[#This Row],[Org ID]])/ValbyACO_ICC1[[#This Row],[2021 Member Months]])</f>
        <v>NA</v>
      </c>
      <c r="P106" s="268" t="str">
        <f>IF(ValbyACO_ICC1[[#This Row],[2021 Member Months]]=0, "NA", SUMIFS(ACOAETME2021[[#All],[TOTAL Non-Truncated Unadjusted Expenses 
(A19+A21)]], ACOAETME2021[[#All],[Insurance Category Code]], $E$104, ACOAETME2021[[#All],[ACO/AE or Insurer Overall Organization ID]], ValbyACO_ICC1[[#This Row],[Org ID]])/ValbyACO_ICC1[[#This Row],[2021 Member Months]])</f>
        <v>NA</v>
      </c>
      <c r="Q106" s="119" t="str">
        <f>IF(ValbyACO_ICC1[[#This Row],[2021 Member Months]]=0, "NA", SUMIFS(ACOAETME2021[[#All],[TOTAL Truncated Unadjusted Expenses (A20+A21)]], ACOAETME2021[[#All],[Insurance Category Code]], $E$104, ACOAETME2021[[#All],[ACO/AE or Insurer Overall Organization ID]], ValbyACO_ICC1[[#This Row],[Org ID]])/ValbyACO_ICC1[[#This Row],[2021 Member Months]])</f>
        <v>NA</v>
      </c>
      <c r="R106" s="272">
        <f>SUMIFS(ACOAETME2022[[#All],[Member Months]],ACOAETME2022[[#All],[Insurance Category Code]], $E$104,ACOAETME2022[[#All],[ACO/AE or Insurer Overall Organization ID]],ValbyACO_ICC1[[#This Row],[Org ID]])</f>
        <v>0</v>
      </c>
      <c r="S106" s="118" t="str">
        <f>IF(ValbyACO_ICC1[[#This Row],[2022 Member Months]]=0,"NA",SUMIFS(ACOAETME2022[[#All],[Claims: Hospital Inpatient]],ACOAETME2022[[#All],[Insurance Category Code]], $E$104,ACOAETME2022[[#All],[ACO/AE or Insurer Overall Organization ID]],ValbyACO_ICC1[[#This Row],[Org ID]])/ValbyACO_ICC1[[#This Row],[2022 Member Months]])</f>
        <v>NA</v>
      </c>
      <c r="T106" s="118" t="str">
        <f>IF(ValbyACO_ICC1[[#This Row],[2022 Member Months]]=0,"NA",SUMIFS(ACOAETME2022[[#All],[Claims: Hospital Outpatient]],ACOAETME2022[[#All],[Insurance Category Code]], $E$104,ACOAETME2022[[#All],[ACO/AE or Insurer Overall Organization ID]],ValbyACO_ICC1[[#This Row],[Org ID]])/ValbyACO_ICC1[[#This Row],[2022 Member Months]])</f>
        <v>NA</v>
      </c>
      <c r="U106" s="118" t="str">
        <f>IF(ValbyACO_ICC1[[#This Row],[2022 Member Months]]=0,"NA",SUMIFS(ACOAETME2022[[#All],[Claims: Professional, Primary Care]],ACOAETME2022[[#All],[Insurance Category Code]], $E$104,ACOAETME2022[[#All],[ACO/AE or Insurer Overall Organization ID]],ValbyACO_ICC1[[#This Row],[Org ID]])/ValbyACO_ICC1[[#This Row],[2022 Member Months]])</f>
        <v>NA</v>
      </c>
      <c r="V106" s="118" t="str">
        <f>IF(ValbyACO_ICC1[[#This Row],[2022 Member Months]]=0,"NA",SUMIFS(ACOAETME2022[[#All],[Claims: Professional, Specialty Care]],ACOAETME2022[[#All],[Insurance Category Code]], $E$104,ACOAETME2022[[#All],[ACO/AE or Insurer Overall Organization ID]],ValbyACO_ICC1[[#This Row],[Org ID]])/ValbyACO_ICC1[[#This Row],[2022 Member Months]])</f>
        <v>NA</v>
      </c>
      <c r="W106" s="118" t="str">
        <f>IF(ValbyACO_ICC1[[#This Row],[2022 Member Months]]=0,"NA",SUMIFS(ACOAETME2022[[#All],[Claims: Professional Other]],ACOAETME2022[[#All],[Insurance Category Code]], $E$104,ACOAETME2022[[#All],[ACO/AE or Insurer Overall Organization ID]],ValbyACO_ICC1[[#This Row],[Org ID]])/ValbyACO_ICC1[[#This Row],[2022 Member Months]])</f>
        <v>NA</v>
      </c>
      <c r="X106" s="118" t="str">
        <f>IF(ValbyACO_ICC1[[#This Row],[2022 Member Months]]=0,"NA",SUMIFS(ACOAETME2022[[#All],[Claims: Pharmacy]],ACOAETME2022[[#All],[Insurance Category Code]], $E$104,ACOAETME2022[[#All],[ACO/AE or Insurer Overall Organization ID]],ValbyACO_ICC1[[#This Row],[Org ID]])/ValbyACO_ICC1[[#This Row],[2022 Member Months]])</f>
        <v>NA</v>
      </c>
      <c r="Y106" s="118" t="str">
        <f>IF(ValbyACO_ICC1[[#This Row],[2022 Member Months]]=0,"NA",SUMIFS(ACOAETME2022[[#All],[Claims: Long-Term Care]],ACOAETME2022[[#All],[Insurance Category Code]], $E$104,ACOAETME2022[[#All],[ACO/AE or Insurer Overall Organization ID]],ValbyACO_ICC1[[#This Row],[Org ID]])/ValbyACO_ICC1[[#This Row],[2022 Member Months]])</f>
        <v>NA</v>
      </c>
      <c r="Z106" s="118" t="str">
        <f>IF(ValbyACO_ICC1[[#This Row],[2022 Member Months]]=0,"NA",SUMIFS(ACOAETME2022[[#All],[Claims: Other]],ACOAETME2022[[#All],[Insurance Category Code]], $E$104,ACOAETME2022[[#All],[ACO/AE or Insurer Overall Organization ID]],ValbyACO_ICC1[[#This Row],[Org ID]])/ValbyACO_ICC1[[#This Row],[2022 Member Months]])</f>
        <v>NA</v>
      </c>
      <c r="AA106" s="118" t="str">
        <f>IF(ValbyACO_ICC1[[#This Row],[2022 Member Months]]=0,"NA",SUMIFS(ACOAETME2022[[#All],[TOTAL Non-Truncated Unadjusted Claims Expenses]],ACOAETME2022[[#All],[Insurance Category Code]], $E$104,ACOAETME2022[[#All],[ACO/AE or Insurer Overall Organization ID]],ValbyACO_ICC1[[#This Row],[Org ID]])/ValbyACO_ICC1[[#This Row],[2022 Member Months]])</f>
        <v>NA</v>
      </c>
      <c r="AB106" s="118" t="str">
        <f>IF(ValbyACO_ICC1[[#This Row],[2022 Member Months]]=0,"NA",SUMIFS(ACOAETME2022[[#All],[TOTAL Truncated Unadjusted Expenses (A20+A21)]],ACOAETME2022[[#All],[Insurance Category Code]], $E$104,ACOAETME2022[[#All],[ACO/AE or Insurer Overall Organization ID]],ValbyACO_ICC1[[#This Row],[Org ID]])/ValbyACO_ICC1[[#This Row],[2022 Member Months]])</f>
        <v>NA</v>
      </c>
      <c r="AC106" s="118" t="str">
        <f>IF(ValbyACO_ICC1[[#This Row],[2022 Member Months]]=0,"NA",SUMIFS(ACOAETME2022[[#All],[TOTAL Non-Claims Expenses]],ACOAETME2022[[#All],[Insurance Category Code]], $E$104,ACOAETME2022[[#All],[ACO/AE or Insurer Overall Organization ID]],ValbyACO_ICC1[[#This Row],[Org ID]])/ValbyACO_ICC1[[#This Row],[2022 Member Months]])</f>
        <v>NA</v>
      </c>
      <c r="AD106" s="268" t="str">
        <f>IF(ValbyACO_ICC1[[#This Row],[2022 Member Months]]=0,"NA",SUMIFS(ACOAETME2022[[#All],[TOTAL Non-Truncated Unadjusted Expenses 
(A19+A21)]],ACOAETME2022[[#All],[Insurance Category Code]], $E$104,ACOAETME2022[[#All],[ACO/AE or Insurer Overall Organization ID]],ValbyACO_ICC1[[#This Row],[Org ID]])/ValbyACO_ICC1[[#This Row],[2022 Member Months]])</f>
        <v>NA</v>
      </c>
      <c r="AE106" s="119" t="str">
        <f>IF(ValbyACO_ICC1[[#This Row],[2022 Member Months]]=0,"NA",SUMIFS(ACOAETME2022[[#All],[TOTAL Truncated Unadjusted Expenses (A20+A21)]],ACOAETME2022[[#All],[Insurance Category Code]],$E$104,ACOAETME2022[[#All],[ACO/AE or Insurer Overall Organization ID]],ValbyACO_ICC1[[#This Row],[Org ID]])/ValbyACO_ICC1[[#This Row],[2022 Member Months]])</f>
        <v>NA</v>
      </c>
      <c r="AF106" s="161" t="str">
        <f>IFERROR(IF(ValbyACO_ICC1[[#This Row],[2021 Member Months]]=0,"NA",ValbyACO_ICC1[[#This Row],[2022 Member Months]]/ValbyACO_ICC1[[#This Row],[2021 Member Months]]-1),"NA")</f>
        <v>NA</v>
      </c>
      <c r="AG106" s="161" t="str">
        <f>IFERROR(IF(ValbyACO_ICC1[[#This Row],[2021 Member Months]]=0,"NA",ValbyACO_ICC1[[#This Row],[2022 Claims: Hospital Inpatient]]/ValbyACO_ICC1[[#This Row],[2021 Claims: Hospital Inpatient]]-1),"NA")</f>
        <v>NA</v>
      </c>
      <c r="AH106" s="162" t="str">
        <f>IFERROR(IF(ValbyACO_ICC1[[#This Row],[2021 Member Months]]=0,"NA",ValbyACO_ICC1[[#This Row],[2022 Claims: Hospital Outpatient]]/ValbyACO_ICC1[[#This Row],[2021 Claims: Hospital Outpatient]]-1),"NA")</f>
        <v>NA</v>
      </c>
      <c r="AI106" s="162" t="str">
        <f>IFERROR(IF(ValbyACO_ICC1[[#This Row],[2021 Member Months]]=0,"NA",ValbyACO_ICC1[[#This Row],[2022 Claims: Professional, Primary Care]]/ValbyACO_ICC1[[#This Row],[2021 Claims: Professional, Primary Care]]-1),"NA")</f>
        <v>NA</v>
      </c>
      <c r="AJ106" s="162" t="str">
        <f>IFERROR(IF(ValbyACO_ICC1[[#This Row],[2021 Member Months]]=0,"NA",ValbyACO_ICC1[[#This Row],[2022 Claims: Professional, Specialty Care]]/ValbyACO_ICC1[[#This Row],[2021 Claims: Professional, Specialty Care]]-1),"NA")</f>
        <v>NA</v>
      </c>
      <c r="AK106" s="162" t="str">
        <f>IFERROR(IF(ValbyACO_ICC1[[#This Row],[2021 Member Months]]=0,"NA", ValbyACO_ICC1[[#This Row],[2022 Claims: Professional Other]]/ValbyACO_ICC1[[#This Row],[2021 Claims: Professional Other]]-1),"NA")</f>
        <v>NA</v>
      </c>
      <c r="AL106" s="162" t="str">
        <f>IFERROR(IF(ValbyACO_ICC1[[#This Row],[2021 Member Months]]=0,"NA",ValbyACO_ICC1[[#This Row],[2022 Claims: Pharmacy (Gross of Retail Pharmacy Rebates)]]/ValbyACO_ICC1[[#This Row],[2021 Claims: Pharmacy (Gross of  Rebates)]]-1),"NA")</f>
        <v>NA</v>
      </c>
      <c r="AM106" s="162" t="str">
        <f>IFERROR(IF(ValbyACO_ICC1[[#This Row],[2021 Member Months]]=0,"NA",ValbyACO_ICC1[[#This Row],[2022 Claims: Long-term Care]]/ValbyACO_ICC1[[#This Row],[2021 Claims: Long-term Care]]-1),"NA")</f>
        <v>NA</v>
      </c>
      <c r="AN106" s="162" t="str">
        <f>IFERROR(IF(ValbyACO_ICC1[[#This Row],[2021 Member Months]]=0,"NA",ValbyACO_ICC1[[#This Row],[2022 Claims: Other]]/ValbyACO_ICC1[[#This Row],[2021 Claims: Other]]-1),"NA")</f>
        <v>NA</v>
      </c>
      <c r="AO106" s="163" t="str">
        <f>IFERROR(IF(ValbyACO_ICC1[[#This Row],[2021 Member Months]]=0,"NA",ValbyACO_ICC1[[#This Row],[2022 TOTAL Non-Truncated Claims Expenses]]/ValbyACO_ICC1[[#This Row],[2021 TOTAL Non-Truncated Claims Expenses]]-1),"NA")</f>
        <v>NA</v>
      </c>
      <c r="AP106" s="163" t="str">
        <f>IFERROR(IF(ValbyACO_ICC1[[#This Row],[2021 Member Months]]=0,"NA",ValbyACO_ICC1[[#This Row],[2022 TOTAL Truncated Claims Expenses]]/ValbyACO_ICC1[[#This Row],[2021 TOTAL Truncated Claims Expenses]]-1),"NA")</f>
        <v>NA</v>
      </c>
      <c r="AQ106" s="163" t="str">
        <f>IFERROR(IF(ValbyACO_ICC1[[#This Row],[2021 Member Months]]=0,"NA",ValbyACO_ICC1[[#This Row],[2022 TOTAL Non-Claims Expenses]]/ValbyACO_ICC1[[#This Row],[2021 TOTAL Non-Claims Expenses]]-1),"NA")</f>
        <v>NA</v>
      </c>
      <c r="AR106" s="163" t="str">
        <f>IFERROR(IF(ValbyACO_ICC1[[#This Row],[2021 Member Months]]=0,"NA",ValbyACO_ICC1[[#This Row],[2022 TOTAL Non-Truncated Total Expenses]]/ValbyACO_ICC1[[#This Row],[2021 TOTAL Non-Truncated Total Expenses]]-1),"NA")</f>
        <v>NA</v>
      </c>
      <c r="AS106" s="163" t="str">
        <f>IFERROR(IF(ValbyACO_ICC1[[#This Row],[2021 Member Months]]=0,"NA",ValbyACO_ICC1[[#This Row],[2022 TOTAL Truncated Total Expenses]]/ValbyACO_ICC1[[#This Row],[2021 TOTAL Truncated Total Expenses]]-1),"NA")</f>
        <v>NA</v>
      </c>
    </row>
    <row r="107" spans="1:45" x14ac:dyDescent="0.35">
      <c r="A107" s="129"/>
      <c r="B107" s="250">
        <v>102</v>
      </c>
      <c r="C107" s="291" t="s">
        <v>190</v>
      </c>
      <c r="D107" s="272">
        <f>SUMIFS(ACOAETME2021[[#All],[Member Months]], ACOAETME2021[[#All],[Insurance Category Code]], $E$104, ACOAETME2021[[#All],[ACO/AE or Insurer Overall Organization ID]], ValbyACO_ICC1[[#This Row],[Org ID]])</f>
        <v>0</v>
      </c>
      <c r="E107" s="268" t="str">
        <f>IFERROR(IF(ValbyACO_ICC1[[#This Row],[2021 Member Months]]=0,"NA",SUMIFS(ACOAETME2021[[#All],[Claims: Hospital Inpatient]], ACOAETME2021[[#All],[Insurance Category Code]], $E$104, ACOAETME2021[[#All],[ACO/AE or Insurer Overall Organization ID]], ValbyACO_ICC1[[#This Row],[Org ID]])/ValbyACO_ICC1[[#This Row],[2021 Member Months]]), "NA")</f>
        <v>NA</v>
      </c>
      <c r="F107" s="268" t="str">
        <f>IFERROR(IF(ValbyACO_ICC1[[#This Row],[2021 Member Months]]=0,"NA",SUMIFS(ACOAETME2021[[#All],[Claims: Hospital Outpatient]], ACOAETME2021[[#All],[Insurance Category Code]], $E$104, ACOAETME2021[[#All],[ACO/AE or Insurer Overall Organization ID]], ValbyACO_ICC1[[#This Row],[Org ID]])/ValbyACO_ICC1[[#This Row],[2021 Member Months]]), "NA")</f>
        <v>NA</v>
      </c>
      <c r="G107" s="268" t="str">
        <f>IFERROR(IF(ValbyACO_ICC1[[#This Row],[2021 Member Months]]=0,"NA",SUMIFS(ACOAETME2021[[#All],[Claims: Professional, Primary Care]], ACOAETME2021[[#All],[Insurance Category Code]], $E$104, ACOAETME2021[[#All],[ACO/AE or Insurer Overall Organization ID]], ValbyACO_ICC1[[#This Row],[Org ID]])/ValbyACO_ICC1[[#This Row],[2021 Member Months]]), "NA")</f>
        <v>NA</v>
      </c>
      <c r="H107" s="268" t="str">
        <f>IFERROR(IF(ValbyACO_ICC1[[#This Row],[2021 Member Months]]=0,"NA",SUMIFS(ACOAETME2021[[#All],[Claims: Professional, Specialty Care]], ACOAETME2021[[#All],[Insurance Category Code]], $E$104, ACOAETME2021[[#All],[ACO/AE or Insurer Overall Organization ID]], ValbyACO_ICC1[[#This Row],[Org ID]])/ValbyACO_ICC1[[#This Row],[2021 Member Months]]), "NA")</f>
        <v>NA</v>
      </c>
      <c r="I107" s="268" t="str">
        <f>IFERROR(IF(ValbyACO_ICC1[[#This Row],[2021 Member Months]]=0,"NA",SUMIFS(ACOAETME2021[[#All],[Claims: Professional Other]], ACOAETME2021[[#All],[Insurance Category Code]], $E$104, ACOAETME2021[[#All],[ACO/AE or Insurer Overall Organization ID]], ValbyACO_ICC1[[#This Row],[Org ID]])/ValbyACO_ICC1[[#This Row],[2021 Member Months]]), "NA")</f>
        <v>NA</v>
      </c>
      <c r="J107" s="268" t="str">
        <f>IFERROR(IF(ValbyACO_ICC1[[#This Row],[2021 Member Months]]=0,"NA",SUMIFS(ACOAETME2021[[#All],[Claims: Pharmacy]], ACOAETME2021[[#All],[Insurance Category Code]], $E$104, ACOAETME2021[[#All],[ACO/AE or Insurer Overall Organization ID]], ValbyACO_ICC1[[#This Row],[Org ID]])/ValbyACO_ICC1[[#This Row],[2021 Member Months]]), "NA")</f>
        <v>NA</v>
      </c>
      <c r="K107" s="268" t="str">
        <f>IFERROR(IF(ValbyACO_ICC1[[#This Row],[2021 Member Months]]=0,"NA",SUMIFS(ACOAETME2021[[#All],[Claims: Long-Term Care]], ACOAETME2021[[#All],[Insurance Category Code]], $E$104, ACOAETME2021[[#All],[ACO/AE or Insurer Overall Organization ID]], ValbyACO_ICC1[[#This Row],[Org ID]])/ValbyACO_ICC1[[#This Row],[2021 Member Months]]), "NA")</f>
        <v>NA</v>
      </c>
      <c r="L107" s="268" t="str">
        <f>IFERROR(IF(ValbyACO_ICC1[[#This Row],[2021 Member Months]]=0,"NA",SUMIFS(ACOAETME2021[[#All],[Claims: Other]], ACOAETME2021[[#All],[Insurance Category Code]], $E$104, ACOAETME2021[[#All],[ACO/AE or Insurer Overall Organization ID]], ValbyACO_ICC1[[#This Row],[Org ID]])/ValbyACO_ICC1[[#This Row],[2021 Member Months]]), "NA")</f>
        <v>NA</v>
      </c>
      <c r="M107" s="118" t="str">
        <f>IF(ValbyACO_ICC1[[#This Row],[2021 Member Months]]=0,"NA",SUMIFS(ACOAETME2021[[#All],[TOTAL Non-Truncated Unadjusted Claims Expenses]], ACOAETME2021[[#All],[Insurance Category Code]], $E$104, ACOAETME2021[[#All],[ACO/AE or Insurer Overall Organization ID]], ValbyACO_ICC1[[#This Row],[Org ID]])/ValbyACO_ICC1[[#This Row],[2021 Member Months]])</f>
        <v>NA</v>
      </c>
      <c r="N107" s="118" t="str">
        <f>IF(ValbyACO_ICC1[[#This Row],[2021 Member Months]]=0,"NA",SUMIFS(ACOAETME2021[[#All],[TOTAL Truncated Unadjusted Claims Expenses (A19 - A17)]], ACOAETME2021[[#All],[Insurance Category Code]], $E$104, ACOAETME2021[[#All],[ACO/AE or Insurer Overall Organization ID]], ValbyACO_ICC1[[#This Row],[Org ID]])/ValbyACO_ICC1[[#This Row],[2021 Member Months]])</f>
        <v>NA</v>
      </c>
      <c r="O107" s="118" t="str">
        <f>IF(ValbyACO_ICC1[[#This Row],[2021 Member Months]]=0,"NA",SUMIFS(ACOAETME2021[[#All],[TOTAL Non-Claims Expenses]], ACOAETME2021[[#All],[Insurance Category Code]], $E$104, ACOAETME2021[[#All],[ACO/AE or Insurer Overall Organization ID]], ValbyACO_ICC1[[#This Row],[Org ID]])/ValbyACO_ICC1[[#This Row],[2021 Member Months]])</f>
        <v>NA</v>
      </c>
      <c r="P107" s="268" t="str">
        <f>IF(ValbyACO_ICC1[[#This Row],[2021 Member Months]]=0, "NA", SUMIFS(ACOAETME2021[[#All],[TOTAL Non-Truncated Unadjusted Expenses 
(A19+A21)]], ACOAETME2021[[#All],[Insurance Category Code]], $E$104, ACOAETME2021[[#All],[ACO/AE or Insurer Overall Organization ID]], ValbyACO_ICC1[[#This Row],[Org ID]])/ValbyACO_ICC1[[#This Row],[2021 Member Months]])</f>
        <v>NA</v>
      </c>
      <c r="Q107" s="119" t="str">
        <f>IF(ValbyACO_ICC1[[#This Row],[2021 Member Months]]=0, "NA", SUMIFS(ACOAETME2021[[#All],[TOTAL Truncated Unadjusted Expenses (A20+A21)]], ACOAETME2021[[#All],[Insurance Category Code]], $E$104, ACOAETME2021[[#All],[ACO/AE or Insurer Overall Organization ID]], ValbyACO_ICC1[[#This Row],[Org ID]])/ValbyACO_ICC1[[#This Row],[2021 Member Months]])</f>
        <v>NA</v>
      </c>
      <c r="R107" s="272">
        <f>SUMIFS(ACOAETME2022[[#All],[Member Months]],ACOAETME2022[[#All],[Insurance Category Code]], $E$104,ACOAETME2022[[#All],[ACO/AE or Insurer Overall Organization ID]],ValbyACO_ICC1[[#This Row],[Org ID]])</f>
        <v>0</v>
      </c>
      <c r="S107" s="118" t="str">
        <f>IF(ValbyACO_ICC1[[#This Row],[2022 Member Months]]=0,"NA",SUMIFS(ACOAETME2022[[#All],[Claims: Hospital Inpatient]],ACOAETME2022[[#All],[Insurance Category Code]], $E$104,ACOAETME2022[[#All],[ACO/AE or Insurer Overall Organization ID]],ValbyACO_ICC1[[#This Row],[Org ID]])/ValbyACO_ICC1[[#This Row],[2022 Member Months]])</f>
        <v>NA</v>
      </c>
      <c r="T107" s="118" t="str">
        <f>IF(ValbyACO_ICC1[[#This Row],[2022 Member Months]]=0,"NA",SUMIFS(ACOAETME2022[[#All],[Claims: Hospital Outpatient]],ACOAETME2022[[#All],[Insurance Category Code]], $E$104,ACOAETME2022[[#All],[ACO/AE or Insurer Overall Organization ID]],ValbyACO_ICC1[[#This Row],[Org ID]])/ValbyACO_ICC1[[#This Row],[2022 Member Months]])</f>
        <v>NA</v>
      </c>
      <c r="U107" s="118" t="str">
        <f>IF(ValbyACO_ICC1[[#This Row],[2022 Member Months]]=0,"NA",SUMIFS(ACOAETME2022[[#All],[Claims: Professional, Primary Care]],ACOAETME2022[[#All],[Insurance Category Code]], $E$104,ACOAETME2022[[#All],[ACO/AE or Insurer Overall Organization ID]],ValbyACO_ICC1[[#This Row],[Org ID]])/ValbyACO_ICC1[[#This Row],[2022 Member Months]])</f>
        <v>NA</v>
      </c>
      <c r="V107" s="118" t="str">
        <f>IF(ValbyACO_ICC1[[#This Row],[2022 Member Months]]=0,"NA",SUMIFS(ACOAETME2022[[#All],[Claims: Professional, Specialty Care]],ACOAETME2022[[#All],[Insurance Category Code]], $E$104,ACOAETME2022[[#All],[ACO/AE or Insurer Overall Organization ID]],ValbyACO_ICC1[[#This Row],[Org ID]])/ValbyACO_ICC1[[#This Row],[2022 Member Months]])</f>
        <v>NA</v>
      </c>
      <c r="W107" s="118" t="str">
        <f>IF(ValbyACO_ICC1[[#This Row],[2022 Member Months]]=0,"NA",SUMIFS(ACOAETME2022[[#All],[Claims: Professional Other]],ACOAETME2022[[#All],[Insurance Category Code]], $E$104,ACOAETME2022[[#All],[ACO/AE or Insurer Overall Organization ID]],ValbyACO_ICC1[[#This Row],[Org ID]])/ValbyACO_ICC1[[#This Row],[2022 Member Months]])</f>
        <v>NA</v>
      </c>
      <c r="X107" s="118" t="str">
        <f>IF(ValbyACO_ICC1[[#This Row],[2022 Member Months]]=0,"NA",SUMIFS(ACOAETME2022[[#All],[Claims: Pharmacy]],ACOAETME2022[[#All],[Insurance Category Code]], $E$104,ACOAETME2022[[#All],[ACO/AE or Insurer Overall Organization ID]],ValbyACO_ICC1[[#This Row],[Org ID]])/ValbyACO_ICC1[[#This Row],[2022 Member Months]])</f>
        <v>NA</v>
      </c>
      <c r="Y107" s="118" t="str">
        <f>IF(ValbyACO_ICC1[[#This Row],[2022 Member Months]]=0,"NA",SUMIFS(ACOAETME2022[[#All],[Claims: Long-Term Care]],ACOAETME2022[[#All],[Insurance Category Code]], $E$104,ACOAETME2022[[#All],[ACO/AE or Insurer Overall Organization ID]],ValbyACO_ICC1[[#This Row],[Org ID]])/ValbyACO_ICC1[[#This Row],[2022 Member Months]])</f>
        <v>NA</v>
      </c>
      <c r="Z107" s="118" t="str">
        <f>IF(ValbyACO_ICC1[[#This Row],[2022 Member Months]]=0,"NA",SUMIFS(ACOAETME2022[[#All],[Claims: Other]],ACOAETME2022[[#All],[Insurance Category Code]], $E$104,ACOAETME2022[[#All],[ACO/AE or Insurer Overall Organization ID]],ValbyACO_ICC1[[#This Row],[Org ID]])/ValbyACO_ICC1[[#This Row],[2022 Member Months]])</f>
        <v>NA</v>
      </c>
      <c r="AA107" s="118" t="str">
        <f>IF(ValbyACO_ICC1[[#This Row],[2022 Member Months]]=0,"NA",SUMIFS(ACOAETME2022[[#All],[TOTAL Non-Truncated Unadjusted Claims Expenses]],ACOAETME2022[[#All],[Insurance Category Code]], $E$104,ACOAETME2022[[#All],[ACO/AE or Insurer Overall Organization ID]],ValbyACO_ICC1[[#This Row],[Org ID]])/ValbyACO_ICC1[[#This Row],[2022 Member Months]])</f>
        <v>NA</v>
      </c>
      <c r="AB107" s="118" t="str">
        <f>IF(ValbyACO_ICC1[[#This Row],[2022 Member Months]]=0,"NA",SUMIFS(ACOAETME2022[[#All],[TOTAL Truncated Unadjusted Expenses (A20+A21)]],ACOAETME2022[[#All],[Insurance Category Code]], $E$104,ACOAETME2022[[#All],[ACO/AE or Insurer Overall Organization ID]],ValbyACO_ICC1[[#This Row],[Org ID]])/ValbyACO_ICC1[[#This Row],[2022 Member Months]])</f>
        <v>NA</v>
      </c>
      <c r="AC107" s="118" t="str">
        <f>IF(ValbyACO_ICC1[[#This Row],[2022 Member Months]]=0,"NA",SUMIFS(ACOAETME2022[[#All],[TOTAL Non-Claims Expenses]],ACOAETME2022[[#All],[Insurance Category Code]], $E$104,ACOAETME2022[[#All],[ACO/AE or Insurer Overall Organization ID]],ValbyACO_ICC1[[#This Row],[Org ID]])/ValbyACO_ICC1[[#This Row],[2022 Member Months]])</f>
        <v>NA</v>
      </c>
      <c r="AD107" s="268" t="str">
        <f>IF(ValbyACO_ICC1[[#This Row],[2022 Member Months]]=0,"NA",SUMIFS(ACOAETME2022[[#All],[TOTAL Non-Truncated Unadjusted Expenses 
(A19+A21)]],ACOAETME2022[[#All],[Insurance Category Code]], $E$104,ACOAETME2022[[#All],[ACO/AE or Insurer Overall Organization ID]],ValbyACO_ICC1[[#This Row],[Org ID]])/ValbyACO_ICC1[[#This Row],[2022 Member Months]])</f>
        <v>NA</v>
      </c>
      <c r="AE107" s="119" t="str">
        <f>IF(ValbyACO_ICC1[[#This Row],[2022 Member Months]]=0,"NA",SUMIFS(ACOAETME2022[[#All],[TOTAL Truncated Unadjusted Expenses (A20+A21)]],ACOAETME2022[[#All],[Insurance Category Code]],$E$104,ACOAETME2022[[#All],[ACO/AE or Insurer Overall Organization ID]],ValbyACO_ICC1[[#This Row],[Org ID]])/ValbyACO_ICC1[[#This Row],[2022 Member Months]])</f>
        <v>NA</v>
      </c>
      <c r="AF107" s="161" t="str">
        <f>IFERROR(IF(ValbyACO_ICC1[[#This Row],[2021 Member Months]]=0,"NA",ValbyACO_ICC1[[#This Row],[2022 Member Months]]/ValbyACO_ICC1[[#This Row],[2021 Member Months]]-1),"NA")</f>
        <v>NA</v>
      </c>
      <c r="AG107" s="161" t="str">
        <f>IFERROR(IF(ValbyACO_ICC1[[#This Row],[2021 Member Months]]=0,"NA",ValbyACO_ICC1[[#This Row],[2022 Claims: Hospital Inpatient]]/ValbyACO_ICC1[[#This Row],[2021 Claims: Hospital Inpatient]]-1),"NA")</f>
        <v>NA</v>
      </c>
      <c r="AH107" s="162" t="str">
        <f>IFERROR(IF(ValbyACO_ICC1[[#This Row],[2021 Member Months]]=0,"NA",ValbyACO_ICC1[[#This Row],[2022 Claims: Hospital Outpatient]]/ValbyACO_ICC1[[#This Row],[2021 Claims: Hospital Outpatient]]-1),"NA")</f>
        <v>NA</v>
      </c>
      <c r="AI107" s="162" t="str">
        <f>IFERROR(IF(ValbyACO_ICC1[[#This Row],[2021 Member Months]]=0,"NA",ValbyACO_ICC1[[#This Row],[2022 Claims: Professional, Primary Care]]/ValbyACO_ICC1[[#This Row],[2021 Claims: Professional, Primary Care]]-1),"NA")</f>
        <v>NA</v>
      </c>
      <c r="AJ107" s="162" t="str">
        <f>IFERROR(IF(ValbyACO_ICC1[[#This Row],[2021 Member Months]]=0,"NA",ValbyACO_ICC1[[#This Row],[2022 Claims: Professional, Specialty Care]]/ValbyACO_ICC1[[#This Row],[2021 Claims: Professional, Specialty Care]]-1),"NA")</f>
        <v>NA</v>
      </c>
      <c r="AK107" s="162" t="str">
        <f>IFERROR(IF(ValbyACO_ICC1[[#This Row],[2021 Member Months]]=0,"NA", ValbyACO_ICC1[[#This Row],[2022 Claims: Professional Other]]/ValbyACO_ICC1[[#This Row],[2021 Claims: Professional Other]]-1),"NA")</f>
        <v>NA</v>
      </c>
      <c r="AL107" s="162" t="str">
        <f>IFERROR(IF(ValbyACO_ICC1[[#This Row],[2021 Member Months]]=0,"NA",ValbyACO_ICC1[[#This Row],[2022 Claims: Pharmacy (Gross of Retail Pharmacy Rebates)]]/ValbyACO_ICC1[[#This Row],[2021 Claims: Pharmacy (Gross of  Rebates)]]-1),"NA")</f>
        <v>NA</v>
      </c>
      <c r="AM107" s="162" t="str">
        <f>IFERROR(IF(ValbyACO_ICC1[[#This Row],[2021 Member Months]]=0,"NA",ValbyACO_ICC1[[#This Row],[2022 Claims: Long-term Care]]/ValbyACO_ICC1[[#This Row],[2021 Claims: Long-term Care]]-1),"NA")</f>
        <v>NA</v>
      </c>
      <c r="AN107" s="162" t="str">
        <f>IFERROR(IF(ValbyACO_ICC1[[#This Row],[2021 Member Months]]=0,"NA",ValbyACO_ICC1[[#This Row],[2022 Claims: Other]]/ValbyACO_ICC1[[#This Row],[2021 Claims: Other]]-1),"NA")</f>
        <v>NA</v>
      </c>
      <c r="AO107" s="163" t="str">
        <f>IFERROR(IF(ValbyACO_ICC1[[#This Row],[2021 Member Months]]=0,"NA",ValbyACO_ICC1[[#This Row],[2022 TOTAL Non-Truncated Claims Expenses]]/ValbyACO_ICC1[[#This Row],[2021 TOTAL Non-Truncated Claims Expenses]]-1),"NA")</f>
        <v>NA</v>
      </c>
      <c r="AP107" s="163" t="str">
        <f>IFERROR(IF(ValbyACO_ICC1[[#This Row],[2021 Member Months]]=0,"NA",ValbyACO_ICC1[[#This Row],[2022 TOTAL Truncated Claims Expenses]]/ValbyACO_ICC1[[#This Row],[2021 TOTAL Truncated Claims Expenses]]-1),"NA")</f>
        <v>NA</v>
      </c>
      <c r="AQ107" s="163" t="str">
        <f>IFERROR(IF(ValbyACO_ICC1[[#This Row],[2021 Member Months]]=0,"NA",ValbyACO_ICC1[[#This Row],[2022 TOTAL Non-Claims Expenses]]/ValbyACO_ICC1[[#This Row],[2021 TOTAL Non-Claims Expenses]]-1),"NA")</f>
        <v>NA</v>
      </c>
      <c r="AR107" s="163" t="str">
        <f>IFERROR(IF(ValbyACO_ICC1[[#This Row],[2021 Member Months]]=0,"NA",ValbyACO_ICC1[[#This Row],[2022 TOTAL Non-Truncated Total Expenses]]/ValbyACO_ICC1[[#This Row],[2021 TOTAL Non-Truncated Total Expenses]]-1),"NA")</f>
        <v>NA</v>
      </c>
      <c r="AS107" s="163" t="str">
        <f>IFERROR(IF(ValbyACO_ICC1[[#This Row],[2021 Member Months]]=0,"NA",ValbyACO_ICC1[[#This Row],[2022 TOTAL Truncated Total Expenses]]/ValbyACO_ICC1[[#This Row],[2021 TOTAL Truncated Total Expenses]]-1),"NA")</f>
        <v>NA</v>
      </c>
    </row>
    <row r="108" spans="1:45" x14ac:dyDescent="0.35">
      <c r="A108" s="129"/>
      <c r="B108" s="250">
        <v>103</v>
      </c>
      <c r="C108" s="291" t="s">
        <v>168</v>
      </c>
      <c r="D108" s="272">
        <f>SUMIFS(ACOAETME2021[[#All],[Member Months]], ACOAETME2021[[#All],[Insurance Category Code]], $E$104, ACOAETME2021[[#All],[ACO/AE or Insurer Overall Organization ID]], ValbyACO_ICC1[[#This Row],[Org ID]])</f>
        <v>0</v>
      </c>
      <c r="E108" s="268" t="str">
        <f>IFERROR(IF(ValbyACO_ICC1[[#This Row],[2021 Member Months]]=0,"NA",SUMIFS(ACOAETME2021[[#All],[Claims: Hospital Inpatient]], ACOAETME2021[[#All],[Insurance Category Code]], $E$104, ACOAETME2021[[#All],[ACO/AE or Insurer Overall Organization ID]], ValbyACO_ICC1[[#This Row],[Org ID]])/ValbyACO_ICC1[[#This Row],[2021 Member Months]]), "NA")</f>
        <v>NA</v>
      </c>
      <c r="F108" s="268" t="str">
        <f>IFERROR(IF(ValbyACO_ICC1[[#This Row],[2021 Member Months]]=0,"NA",SUMIFS(ACOAETME2021[[#All],[Claims: Hospital Outpatient]], ACOAETME2021[[#All],[Insurance Category Code]], $E$104, ACOAETME2021[[#All],[ACO/AE or Insurer Overall Organization ID]], ValbyACO_ICC1[[#This Row],[Org ID]])/ValbyACO_ICC1[[#This Row],[2021 Member Months]]), "NA")</f>
        <v>NA</v>
      </c>
      <c r="G108" s="268" t="str">
        <f>IFERROR(IF(ValbyACO_ICC1[[#This Row],[2021 Member Months]]=0,"NA",SUMIFS(ACOAETME2021[[#All],[Claims: Professional, Primary Care]], ACOAETME2021[[#All],[Insurance Category Code]], $E$104, ACOAETME2021[[#All],[ACO/AE or Insurer Overall Organization ID]], ValbyACO_ICC1[[#This Row],[Org ID]])/ValbyACO_ICC1[[#This Row],[2021 Member Months]]), "NA")</f>
        <v>NA</v>
      </c>
      <c r="H108" s="268" t="str">
        <f>IFERROR(IF(ValbyACO_ICC1[[#This Row],[2021 Member Months]]=0,"NA",SUMIFS(ACOAETME2021[[#All],[Claims: Professional, Specialty Care]], ACOAETME2021[[#All],[Insurance Category Code]], $E$104, ACOAETME2021[[#All],[ACO/AE or Insurer Overall Organization ID]], ValbyACO_ICC1[[#This Row],[Org ID]])/ValbyACO_ICC1[[#This Row],[2021 Member Months]]), "NA")</f>
        <v>NA</v>
      </c>
      <c r="I108" s="268" t="str">
        <f>IFERROR(IF(ValbyACO_ICC1[[#This Row],[2021 Member Months]]=0,"NA",SUMIFS(ACOAETME2021[[#All],[Claims: Professional Other]], ACOAETME2021[[#All],[Insurance Category Code]], $E$104, ACOAETME2021[[#All],[ACO/AE or Insurer Overall Organization ID]], ValbyACO_ICC1[[#This Row],[Org ID]])/ValbyACO_ICC1[[#This Row],[2021 Member Months]]), "NA")</f>
        <v>NA</v>
      </c>
      <c r="J108" s="268" t="str">
        <f>IFERROR(IF(ValbyACO_ICC1[[#This Row],[2021 Member Months]]=0,"NA",SUMIFS(ACOAETME2021[[#All],[Claims: Pharmacy]], ACOAETME2021[[#All],[Insurance Category Code]], $E$104, ACOAETME2021[[#All],[ACO/AE or Insurer Overall Organization ID]], ValbyACO_ICC1[[#This Row],[Org ID]])/ValbyACO_ICC1[[#This Row],[2021 Member Months]]), "NA")</f>
        <v>NA</v>
      </c>
      <c r="K108" s="268" t="str">
        <f>IFERROR(IF(ValbyACO_ICC1[[#This Row],[2021 Member Months]]=0,"NA",SUMIFS(ACOAETME2021[[#All],[Claims: Long-Term Care]], ACOAETME2021[[#All],[Insurance Category Code]], $E$104, ACOAETME2021[[#All],[ACO/AE or Insurer Overall Organization ID]], ValbyACO_ICC1[[#This Row],[Org ID]])/ValbyACO_ICC1[[#This Row],[2021 Member Months]]), "NA")</f>
        <v>NA</v>
      </c>
      <c r="L108" s="268" t="str">
        <f>IFERROR(IF(ValbyACO_ICC1[[#This Row],[2021 Member Months]]=0,"NA",SUMIFS(ACOAETME2021[[#All],[Claims: Other]], ACOAETME2021[[#All],[Insurance Category Code]], $E$104, ACOAETME2021[[#All],[ACO/AE or Insurer Overall Organization ID]], ValbyACO_ICC1[[#This Row],[Org ID]])/ValbyACO_ICC1[[#This Row],[2021 Member Months]]), "NA")</f>
        <v>NA</v>
      </c>
      <c r="M108" s="118" t="str">
        <f>IF(ValbyACO_ICC1[[#This Row],[2021 Member Months]]=0,"NA",SUMIFS(ACOAETME2021[[#All],[TOTAL Non-Truncated Unadjusted Claims Expenses]], ACOAETME2021[[#All],[Insurance Category Code]], $E$104, ACOAETME2021[[#All],[ACO/AE or Insurer Overall Organization ID]], ValbyACO_ICC1[[#This Row],[Org ID]])/ValbyACO_ICC1[[#This Row],[2021 Member Months]])</f>
        <v>NA</v>
      </c>
      <c r="N108" s="118" t="str">
        <f>IF(ValbyACO_ICC1[[#This Row],[2021 Member Months]]=0,"NA",SUMIFS(ACOAETME2021[[#All],[TOTAL Truncated Unadjusted Claims Expenses (A19 - A17)]], ACOAETME2021[[#All],[Insurance Category Code]], $E$104, ACOAETME2021[[#All],[ACO/AE or Insurer Overall Organization ID]], ValbyACO_ICC1[[#This Row],[Org ID]])/ValbyACO_ICC1[[#This Row],[2021 Member Months]])</f>
        <v>NA</v>
      </c>
      <c r="O108" s="118" t="str">
        <f>IF(ValbyACO_ICC1[[#This Row],[2021 Member Months]]=0,"NA",SUMIFS(ACOAETME2021[[#All],[TOTAL Non-Claims Expenses]], ACOAETME2021[[#All],[Insurance Category Code]], $E$104, ACOAETME2021[[#All],[ACO/AE or Insurer Overall Organization ID]], ValbyACO_ICC1[[#This Row],[Org ID]])/ValbyACO_ICC1[[#This Row],[2021 Member Months]])</f>
        <v>NA</v>
      </c>
      <c r="P108" s="268" t="str">
        <f>IF(ValbyACO_ICC1[[#This Row],[2021 Member Months]]=0, "NA", SUMIFS(ACOAETME2021[[#All],[TOTAL Non-Truncated Unadjusted Expenses 
(A19+A21)]], ACOAETME2021[[#All],[Insurance Category Code]], $E$104, ACOAETME2021[[#All],[ACO/AE or Insurer Overall Organization ID]], ValbyACO_ICC1[[#This Row],[Org ID]])/ValbyACO_ICC1[[#This Row],[2021 Member Months]])</f>
        <v>NA</v>
      </c>
      <c r="Q108" s="119" t="str">
        <f>IF(ValbyACO_ICC1[[#This Row],[2021 Member Months]]=0, "NA", SUMIFS(ACOAETME2021[[#All],[TOTAL Truncated Unadjusted Expenses (A20+A21)]], ACOAETME2021[[#All],[Insurance Category Code]], $E$104, ACOAETME2021[[#All],[ACO/AE or Insurer Overall Organization ID]], ValbyACO_ICC1[[#This Row],[Org ID]])/ValbyACO_ICC1[[#This Row],[2021 Member Months]])</f>
        <v>NA</v>
      </c>
      <c r="R108" s="272">
        <f>SUMIFS(ACOAETME2022[[#All],[Member Months]],ACOAETME2022[[#All],[Insurance Category Code]], $E$104,ACOAETME2022[[#All],[ACO/AE or Insurer Overall Organization ID]],ValbyACO_ICC1[[#This Row],[Org ID]])</f>
        <v>0</v>
      </c>
      <c r="S108" s="118" t="str">
        <f>IF(ValbyACO_ICC1[[#This Row],[2022 Member Months]]=0,"NA",SUMIFS(ACOAETME2022[[#All],[Claims: Hospital Inpatient]],ACOAETME2022[[#All],[Insurance Category Code]], $E$104,ACOAETME2022[[#All],[ACO/AE or Insurer Overall Organization ID]],ValbyACO_ICC1[[#This Row],[Org ID]])/ValbyACO_ICC1[[#This Row],[2022 Member Months]])</f>
        <v>NA</v>
      </c>
      <c r="T108" s="118" t="str">
        <f>IF(ValbyACO_ICC1[[#This Row],[2022 Member Months]]=0,"NA",SUMIFS(ACOAETME2022[[#All],[Claims: Hospital Outpatient]],ACOAETME2022[[#All],[Insurance Category Code]], $E$104,ACOAETME2022[[#All],[ACO/AE or Insurer Overall Organization ID]],ValbyACO_ICC1[[#This Row],[Org ID]])/ValbyACO_ICC1[[#This Row],[2022 Member Months]])</f>
        <v>NA</v>
      </c>
      <c r="U108" s="118" t="str">
        <f>IF(ValbyACO_ICC1[[#This Row],[2022 Member Months]]=0,"NA",SUMIFS(ACOAETME2022[[#All],[Claims: Professional, Primary Care]],ACOAETME2022[[#All],[Insurance Category Code]], $E$104,ACOAETME2022[[#All],[ACO/AE or Insurer Overall Organization ID]],ValbyACO_ICC1[[#This Row],[Org ID]])/ValbyACO_ICC1[[#This Row],[2022 Member Months]])</f>
        <v>NA</v>
      </c>
      <c r="V108" s="118" t="str">
        <f>IF(ValbyACO_ICC1[[#This Row],[2022 Member Months]]=0,"NA",SUMIFS(ACOAETME2022[[#All],[Claims: Professional, Specialty Care]],ACOAETME2022[[#All],[Insurance Category Code]], $E$104,ACOAETME2022[[#All],[ACO/AE or Insurer Overall Organization ID]],ValbyACO_ICC1[[#This Row],[Org ID]])/ValbyACO_ICC1[[#This Row],[2022 Member Months]])</f>
        <v>NA</v>
      </c>
      <c r="W108" s="118" t="str">
        <f>IF(ValbyACO_ICC1[[#This Row],[2022 Member Months]]=0,"NA",SUMIFS(ACOAETME2022[[#All],[Claims: Professional Other]],ACOAETME2022[[#All],[Insurance Category Code]], $E$104,ACOAETME2022[[#All],[ACO/AE or Insurer Overall Organization ID]],ValbyACO_ICC1[[#This Row],[Org ID]])/ValbyACO_ICC1[[#This Row],[2022 Member Months]])</f>
        <v>NA</v>
      </c>
      <c r="X108" s="118" t="str">
        <f>IF(ValbyACO_ICC1[[#This Row],[2022 Member Months]]=0,"NA",SUMIFS(ACOAETME2022[[#All],[Claims: Pharmacy]],ACOAETME2022[[#All],[Insurance Category Code]], $E$104,ACOAETME2022[[#All],[ACO/AE or Insurer Overall Organization ID]],ValbyACO_ICC1[[#This Row],[Org ID]])/ValbyACO_ICC1[[#This Row],[2022 Member Months]])</f>
        <v>NA</v>
      </c>
      <c r="Y108" s="118" t="str">
        <f>IF(ValbyACO_ICC1[[#This Row],[2022 Member Months]]=0,"NA",SUMIFS(ACOAETME2022[[#All],[Claims: Long-Term Care]],ACOAETME2022[[#All],[Insurance Category Code]], $E$104,ACOAETME2022[[#All],[ACO/AE or Insurer Overall Organization ID]],ValbyACO_ICC1[[#This Row],[Org ID]])/ValbyACO_ICC1[[#This Row],[2022 Member Months]])</f>
        <v>NA</v>
      </c>
      <c r="Z108" s="118" t="str">
        <f>IF(ValbyACO_ICC1[[#This Row],[2022 Member Months]]=0,"NA",SUMIFS(ACOAETME2022[[#All],[Claims: Other]],ACOAETME2022[[#All],[Insurance Category Code]], $E$104,ACOAETME2022[[#All],[ACO/AE or Insurer Overall Organization ID]],ValbyACO_ICC1[[#This Row],[Org ID]])/ValbyACO_ICC1[[#This Row],[2022 Member Months]])</f>
        <v>NA</v>
      </c>
      <c r="AA108" s="118" t="str">
        <f>IF(ValbyACO_ICC1[[#This Row],[2022 Member Months]]=0,"NA",SUMIFS(ACOAETME2022[[#All],[TOTAL Non-Truncated Unadjusted Claims Expenses]],ACOAETME2022[[#All],[Insurance Category Code]], $E$104,ACOAETME2022[[#All],[ACO/AE or Insurer Overall Organization ID]],ValbyACO_ICC1[[#This Row],[Org ID]])/ValbyACO_ICC1[[#This Row],[2022 Member Months]])</f>
        <v>NA</v>
      </c>
      <c r="AB108" s="118" t="str">
        <f>IF(ValbyACO_ICC1[[#This Row],[2022 Member Months]]=0,"NA",SUMIFS(ACOAETME2022[[#All],[TOTAL Truncated Unadjusted Expenses (A20+A21)]],ACOAETME2022[[#All],[Insurance Category Code]], $E$104,ACOAETME2022[[#All],[ACO/AE or Insurer Overall Organization ID]],ValbyACO_ICC1[[#This Row],[Org ID]])/ValbyACO_ICC1[[#This Row],[2022 Member Months]])</f>
        <v>NA</v>
      </c>
      <c r="AC108" s="118" t="str">
        <f>IF(ValbyACO_ICC1[[#This Row],[2022 Member Months]]=0,"NA",SUMIFS(ACOAETME2022[[#All],[TOTAL Non-Claims Expenses]],ACOAETME2022[[#All],[Insurance Category Code]], $E$104,ACOAETME2022[[#All],[ACO/AE or Insurer Overall Organization ID]],ValbyACO_ICC1[[#This Row],[Org ID]])/ValbyACO_ICC1[[#This Row],[2022 Member Months]])</f>
        <v>NA</v>
      </c>
      <c r="AD108" s="268" t="str">
        <f>IF(ValbyACO_ICC1[[#This Row],[2022 Member Months]]=0,"NA",SUMIFS(ACOAETME2022[[#All],[TOTAL Non-Truncated Unadjusted Expenses 
(A19+A21)]],ACOAETME2022[[#All],[Insurance Category Code]], $E$104,ACOAETME2022[[#All],[ACO/AE or Insurer Overall Organization ID]],ValbyACO_ICC1[[#This Row],[Org ID]])/ValbyACO_ICC1[[#This Row],[2022 Member Months]])</f>
        <v>NA</v>
      </c>
      <c r="AE108" s="119" t="str">
        <f>IF(ValbyACO_ICC1[[#This Row],[2022 Member Months]]=0,"NA",SUMIFS(ACOAETME2022[[#All],[TOTAL Truncated Unadjusted Expenses (A20+A21)]],ACOAETME2022[[#All],[Insurance Category Code]],$E$104,ACOAETME2022[[#All],[ACO/AE or Insurer Overall Organization ID]],ValbyACO_ICC1[[#This Row],[Org ID]])/ValbyACO_ICC1[[#This Row],[2022 Member Months]])</f>
        <v>NA</v>
      </c>
      <c r="AF108" s="161" t="str">
        <f>IFERROR(IF(ValbyACO_ICC1[[#This Row],[2021 Member Months]]=0,"NA",ValbyACO_ICC1[[#This Row],[2022 Member Months]]/ValbyACO_ICC1[[#This Row],[2021 Member Months]]-1),"NA")</f>
        <v>NA</v>
      </c>
      <c r="AG108" s="161" t="str">
        <f>IFERROR(IF(ValbyACO_ICC1[[#This Row],[2021 Member Months]]=0,"NA",ValbyACO_ICC1[[#This Row],[2022 Claims: Hospital Inpatient]]/ValbyACO_ICC1[[#This Row],[2021 Claims: Hospital Inpatient]]-1),"NA")</f>
        <v>NA</v>
      </c>
      <c r="AH108" s="162" t="str">
        <f>IFERROR(IF(ValbyACO_ICC1[[#This Row],[2021 Member Months]]=0,"NA",ValbyACO_ICC1[[#This Row],[2022 Claims: Hospital Outpatient]]/ValbyACO_ICC1[[#This Row],[2021 Claims: Hospital Outpatient]]-1),"NA")</f>
        <v>NA</v>
      </c>
      <c r="AI108" s="162" t="str">
        <f>IFERROR(IF(ValbyACO_ICC1[[#This Row],[2021 Member Months]]=0,"NA",ValbyACO_ICC1[[#This Row],[2022 Claims: Professional, Primary Care]]/ValbyACO_ICC1[[#This Row],[2021 Claims: Professional, Primary Care]]-1),"NA")</f>
        <v>NA</v>
      </c>
      <c r="AJ108" s="162" t="str">
        <f>IFERROR(IF(ValbyACO_ICC1[[#This Row],[2021 Member Months]]=0,"NA",ValbyACO_ICC1[[#This Row],[2022 Claims: Professional, Specialty Care]]/ValbyACO_ICC1[[#This Row],[2021 Claims: Professional, Specialty Care]]-1),"NA")</f>
        <v>NA</v>
      </c>
      <c r="AK108" s="162" t="str">
        <f>IFERROR(IF(ValbyACO_ICC1[[#This Row],[2021 Member Months]]=0,"NA", ValbyACO_ICC1[[#This Row],[2022 Claims: Professional Other]]/ValbyACO_ICC1[[#This Row],[2021 Claims: Professional Other]]-1),"NA")</f>
        <v>NA</v>
      </c>
      <c r="AL108" s="162" t="str">
        <f>IFERROR(IF(ValbyACO_ICC1[[#This Row],[2021 Member Months]]=0,"NA",ValbyACO_ICC1[[#This Row],[2022 Claims: Pharmacy (Gross of Retail Pharmacy Rebates)]]/ValbyACO_ICC1[[#This Row],[2021 Claims: Pharmacy (Gross of  Rebates)]]-1),"NA")</f>
        <v>NA</v>
      </c>
      <c r="AM108" s="162" t="str">
        <f>IFERROR(IF(ValbyACO_ICC1[[#This Row],[2021 Member Months]]=0,"NA",ValbyACO_ICC1[[#This Row],[2022 Claims: Long-term Care]]/ValbyACO_ICC1[[#This Row],[2021 Claims: Long-term Care]]-1),"NA")</f>
        <v>NA</v>
      </c>
      <c r="AN108" s="162" t="str">
        <f>IFERROR(IF(ValbyACO_ICC1[[#This Row],[2021 Member Months]]=0,"NA",ValbyACO_ICC1[[#This Row],[2022 Claims: Other]]/ValbyACO_ICC1[[#This Row],[2021 Claims: Other]]-1),"NA")</f>
        <v>NA</v>
      </c>
      <c r="AO108" s="163" t="str">
        <f>IFERROR(IF(ValbyACO_ICC1[[#This Row],[2021 Member Months]]=0,"NA",ValbyACO_ICC1[[#This Row],[2022 TOTAL Non-Truncated Claims Expenses]]/ValbyACO_ICC1[[#This Row],[2021 TOTAL Non-Truncated Claims Expenses]]-1),"NA")</f>
        <v>NA</v>
      </c>
      <c r="AP108" s="163" t="str">
        <f>IFERROR(IF(ValbyACO_ICC1[[#This Row],[2021 Member Months]]=0,"NA",ValbyACO_ICC1[[#This Row],[2022 TOTAL Truncated Claims Expenses]]/ValbyACO_ICC1[[#This Row],[2021 TOTAL Truncated Claims Expenses]]-1),"NA")</f>
        <v>NA</v>
      </c>
      <c r="AQ108" s="163" t="str">
        <f>IFERROR(IF(ValbyACO_ICC1[[#This Row],[2021 Member Months]]=0,"NA",ValbyACO_ICC1[[#This Row],[2022 TOTAL Non-Claims Expenses]]/ValbyACO_ICC1[[#This Row],[2021 TOTAL Non-Claims Expenses]]-1),"NA")</f>
        <v>NA</v>
      </c>
      <c r="AR108" s="163" t="str">
        <f>IFERROR(IF(ValbyACO_ICC1[[#This Row],[2021 Member Months]]=0,"NA",ValbyACO_ICC1[[#This Row],[2022 TOTAL Non-Truncated Total Expenses]]/ValbyACO_ICC1[[#This Row],[2021 TOTAL Non-Truncated Total Expenses]]-1),"NA")</f>
        <v>NA</v>
      </c>
      <c r="AS108" s="163" t="str">
        <f>IFERROR(IF(ValbyACO_ICC1[[#This Row],[2021 Member Months]]=0,"NA",ValbyACO_ICC1[[#This Row],[2022 TOTAL Truncated Total Expenses]]/ValbyACO_ICC1[[#This Row],[2021 TOTAL Truncated Total Expenses]]-1),"NA")</f>
        <v>NA</v>
      </c>
    </row>
    <row r="109" spans="1:45" x14ac:dyDescent="0.35">
      <c r="A109" s="129"/>
      <c r="B109" s="250">
        <v>104</v>
      </c>
      <c r="C109" s="291" t="s">
        <v>191</v>
      </c>
      <c r="D109" s="272">
        <f>SUMIFS(ACOAETME2021[[#All],[Member Months]], ACOAETME2021[[#All],[Insurance Category Code]], $E$104, ACOAETME2021[[#All],[ACO/AE or Insurer Overall Organization ID]], ValbyACO_ICC1[[#This Row],[Org ID]])</f>
        <v>0</v>
      </c>
      <c r="E109" s="268" t="str">
        <f>IFERROR(IF(ValbyACO_ICC1[[#This Row],[2021 Member Months]]=0,"NA",SUMIFS(ACOAETME2021[[#All],[Claims: Hospital Inpatient]], ACOAETME2021[[#All],[Insurance Category Code]], $E$104, ACOAETME2021[[#All],[ACO/AE or Insurer Overall Organization ID]], ValbyACO_ICC1[[#This Row],[Org ID]])/ValbyACO_ICC1[[#This Row],[2021 Member Months]]), "NA")</f>
        <v>NA</v>
      </c>
      <c r="F109" s="268" t="str">
        <f>IFERROR(IF(ValbyACO_ICC1[[#This Row],[2021 Member Months]]=0,"NA",SUMIFS(ACOAETME2021[[#All],[Claims: Hospital Outpatient]], ACOAETME2021[[#All],[Insurance Category Code]], $E$104, ACOAETME2021[[#All],[ACO/AE or Insurer Overall Organization ID]], ValbyACO_ICC1[[#This Row],[Org ID]])/ValbyACO_ICC1[[#This Row],[2021 Member Months]]), "NA")</f>
        <v>NA</v>
      </c>
      <c r="G109" s="268" t="str">
        <f>IFERROR(IF(ValbyACO_ICC1[[#This Row],[2021 Member Months]]=0,"NA",SUMIFS(ACOAETME2021[[#All],[Claims: Professional, Primary Care]], ACOAETME2021[[#All],[Insurance Category Code]], $E$104, ACOAETME2021[[#All],[ACO/AE or Insurer Overall Organization ID]], ValbyACO_ICC1[[#This Row],[Org ID]])/ValbyACO_ICC1[[#This Row],[2021 Member Months]]), "NA")</f>
        <v>NA</v>
      </c>
      <c r="H109" s="268" t="str">
        <f>IFERROR(IF(ValbyACO_ICC1[[#This Row],[2021 Member Months]]=0,"NA",SUMIFS(ACOAETME2021[[#All],[Claims: Professional, Specialty Care]], ACOAETME2021[[#All],[Insurance Category Code]], $E$104, ACOAETME2021[[#All],[ACO/AE or Insurer Overall Organization ID]], ValbyACO_ICC1[[#This Row],[Org ID]])/ValbyACO_ICC1[[#This Row],[2021 Member Months]]), "NA")</f>
        <v>NA</v>
      </c>
      <c r="I109" s="268" t="str">
        <f>IFERROR(IF(ValbyACO_ICC1[[#This Row],[2021 Member Months]]=0,"NA",SUMIFS(ACOAETME2021[[#All],[Claims: Professional Other]], ACOAETME2021[[#All],[Insurance Category Code]], $E$104, ACOAETME2021[[#All],[ACO/AE or Insurer Overall Organization ID]], ValbyACO_ICC1[[#This Row],[Org ID]])/ValbyACO_ICC1[[#This Row],[2021 Member Months]]), "NA")</f>
        <v>NA</v>
      </c>
      <c r="J109" s="268" t="str">
        <f>IFERROR(IF(ValbyACO_ICC1[[#This Row],[2021 Member Months]]=0,"NA",SUMIFS(ACOAETME2021[[#All],[Claims: Pharmacy]], ACOAETME2021[[#All],[Insurance Category Code]], $E$104, ACOAETME2021[[#All],[ACO/AE or Insurer Overall Organization ID]], ValbyACO_ICC1[[#This Row],[Org ID]])/ValbyACO_ICC1[[#This Row],[2021 Member Months]]), "NA")</f>
        <v>NA</v>
      </c>
      <c r="K109" s="268" t="str">
        <f>IFERROR(IF(ValbyACO_ICC1[[#This Row],[2021 Member Months]]=0,"NA",SUMIFS(ACOAETME2021[[#All],[Claims: Long-Term Care]], ACOAETME2021[[#All],[Insurance Category Code]], $E$104, ACOAETME2021[[#All],[ACO/AE or Insurer Overall Organization ID]], ValbyACO_ICC1[[#This Row],[Org ID]])/ValbyACO_ICC1[[#This Row],[2021 Member Months]]), "NA")</f>
        <v>NA</v>
      </c>
      <c r="L109" s="268" t="str">
        <f>IFERROR(IF(ValbyACO_ICC1[[#This Row],[2021 Member Months]]=0,"NA",SUMIFS(ACOAETME2021[[#All],[Claims: Other]], ACOAETME2021[[#All],[Insurance Category Code]], $E$104, ACOAETME2021[[#All],[ACO/AE or Insurer Overall Organization ID]], ValbyACO_ICC1[[#This Row],[Org ID]])/ValbyACO_ICC1[[#This Row],[2021 Member Months]]), "NA")</f>
        <v>NA</v>
      </c>
      <c r="M109" s="118" t="str">
        <f>IF(ValbyACO_ICC1[[#This Row],[2021 Member Months]]=0,"NA",SUMIFS(ACOAETME2021[[#All],[TOTAL Non-Truncated Unadjusted Claims Expenses]], ACOAETME2021[[#All],[Insurance Category Code]], $E$104, ACOAETME2021[[#All],[ACO/AE or Insurer Overall Organization ID]], ValbyACO_ICC1[[#This Row],[Org ID]])/ValbyACO_ICC1[[#This Row],[2021 Member Months]])</f>
        <v>NA</v>
      </c>
      <c r="N109" s="118" t="str">
        <f>IF(ValbyACO_ICC1[[#This Row],[2021 Member Months]]=0,"NA",SUMIFS(ACOAETME2021[[#All],[TOTAL Truncated Unadjusted Claims Expenses (A19 - A17)]], ACOAETME2021[[#All],[Insurance Category Code]], $E$104, ACOAETME2021[[#All],[ACO/AE or Insurer Overall Organization ID]], ValbyACO_ICC1[[#This Row],[Org ID]])/ValbyACO_ICC1[[#This Row],[2021 Member Months]])</f>
        <v>NA</v>
      </c>
      <c r="O109" s="118" t="str">
        <f>IF(ValbyACO_ICC1[[#This Row],[2021 Member Months]]=0,"NA",SUMIFS(ACOAETME2021[[#All],[TOTAL Non-Claims Expenses]], ACOAETME2021[[#All],[Insurance Category Code]], $E$104, ACOAETME2021[[#All],[ACO/AE or Insurer Overall Organization ID]], ValbyACO_ICC1[[#This Row],[Org ID]])/ValbyACO_ICC1[[#This Row],[2021 Member Months]])</f>
        <v>NA</v>
      </c>
      <c r="P109" s="268" t="str">
        <f>IF(ValbyACO_ICC1[[#This Row],[2021 Member Months]]=0, "NA", SUMIFS(ACOAETME2021[[#All],[TOTAL Non-Truncated Unadjusted Expenses 
(A19+A21)]], ACOAETME2021[[#All],[Insurance Category Code]], $E$104, ACOAETME2021[[#All],[ACO/AE or Insurer Overall Organization ID]], ValbyACO_ICC1[[#This Row],[Org ID]])/ValbyACO_ICC1[[#This Row],[2021 Member Months]])</f>
        <v>NA</v>
      </c>
      <c r="Q109" s="119" t="str">
        <f>IF(ValbyACO_ICC1[[#This Row],[2021 Member Months]]=0, "NA", SUMIFS(ACOAETME2021[[#All],[TOTAL Truncated Unadjusted Expenses (A20+A21)]], ACOAETME2021[[#All],[Insurance Category Code]], $E$104, ACOAETME2021[[#All],[ACO/AE or Insurer Overall Organization ID]], ValbyACO_ICC1[[#This Row],[Org ID]])/ValbyACO_ICC1[[#This Row],[2021 Member Months]])</f>
        <v>NA</v>
      </c>
      <c r="R109" s="272">
        <f>SUMIFS(ACOAETME2022[[#All],[Member Months]],ACOAETME2022[[#All],[Insurance Category Code]], $E$104,ACOAETME2022[[#All],[ACO/AE or Insurer Overall Organization ID]],ValbyACO_ICC1[[#This Row],[Org ID]])</f>
        <v>0</v>
      </c>
      <c r="S109" s="118" t="str">
        <f>IF(ValbyACO_ICC1[[#This Row],[2022 Member Months]]=0,"NA",SUMIFS(ACOAETME2022[[#All],[Claims: Hospital Inpatient]],ACOAETME2022[[#All],[Insurance Category Code]], $E$104,ACOAETME2022[[#All],[ACO/AE or Insurer Overall Organization ID]],ValbyACO_ICC1[[#This Row],[Org ID]])/ValbyACO_ICC1[[#This Row],[2022 Member Months]])</f>
        <v>NA</v>
      </c>
      <c r="T109" s="118" t="str">
        <f>IF(ValbyACO_ICC1[[#This Row],[2022 Member Months]]=0,"NA",SUMIFS(ACOAETME2022[[#All],[Claims: Hospital Outpatient]],ACOAETME2022[[#All],[Insurance Category Code]], $E$104,ACOAETME2022[[#All],[ACO/AE or Insurer Overall Organization ID]],ValbyACO_ICC1[[#This Row],[Org ID]])/ValbyACO_ICC1[[#This Row],[2022 Member Months]])</f>
        <v>NA</v>
      </c>
      <c r="U109" s="118" t="str">
        <f>IF(ValbyACO_ICC1[[#This Row],[2022 Member Months]]=0,"NA",SUMIFS(ACOAETME2022[[#All],[Claims: Professional, Primary Care]],ACOAETME2022[[#All],[Insurance Category Code]], $E$104,ACOAETME2022[[#All],[ACO/AE or Insurer Overall Organization ID]],ValbyACO_ICC1[[#This Row],[Org ID]])/ValbyACO_ICC1[[#This Row],[2022 Member Months]])</f>
        <v>NA</v>
      </c>
      <c r="V109" s="118" t="str">
        <f>IF(ValbyACO_ICC1[[#This Row],[2022 Member Months]]=0,"NA",SUMIFS(ACOAETME2022[[#All],[Claims: Professional, Specialty Care]],ACOAETME2022[[#All],[Insurance Category Code]], $E$104,ACOAETME2022[[#All],[ACO/AE or Insurer Overall Organization ID]],ValbyACO_ICC1[[#This Row],[Org ID]])/ValbyACO_ICC1[[#This Row],[2022 Member Months]])</f>
        <v>NA</v>
      </c>
      <c r="W109" s="118" t="str">
        <f>IF(ValbyACO_ICC1[[#This Row],[2022 Member Months]]=0,"NA",SUMIFS(ACOAETME2022[[#All],[Claims: Professional Other]],ACOAETME2022[[#All],[Insurance Category Code]], $E$104,ACOAETME2022[[#All],[ACO/AE or Insurer Overall Organization ID]],ValbyACO_ICC1[[#This Row],[Org ID]])/ValbyACO_ICC1[[#This Row],[2022 Member Months]])</f>
        <v>NA</v>
      </c>
      <c r="X109" s="118" t="str">
        <f>IF(ValbyACO_ICC1[[#This Row],[2022 Member Months]]=0,"NA",SUMIFS(ACOAETME2022[[#All],[Claims: Pharmacy]],ACOAETME2022[[#All],[Insurance Category Code]], $E$104,ACOAETME2022[[#All],[ACO/AE or Insurer Overall Organization ID]],ValbyACO_ICC1[[#This Row],[Org ID]])/ValbyACO_ICC1[[#This Row],[2022 Member Months]])</f>
        <v>NA</v>
      </c>
      <c r="Y109" s="118" t="str">
        <f>IF(ValbyACO_ICC1[[#This Row],[2022 Member Months]]=0,"NA",SUMIFS(ACOAETME2022[[#All],[Claims: Long-Term Care]],ACOAETME2022[[#All],[Insurance Category Code]], $E$104,ACOAETME2022[[#All],[ACO/AE or Insurer Overall Organization ID]],ValbyACO_ICC1[[#This Row],[Org ID]])/ValbyACO_ICC1[[#This Row],[2022 Member Months]])</f>
        <v>NA</v>
      </c>
      <c r="Z109" s="118" t="str">
        <f>IF(ValbyACO_ICC1[[#This Row],[2022 Member Months]]=0,"NA",SUMIFS(ACOAETME2022[[#All],[Claims: Other]],ACOAETME2022[[#All],[Insurance Category Code]], $E$104,ACOAETME2022[[#All],[ACO/AE or Insurer Overall Organization ID]],ValbyACO_ICC1[[#This Row],[Org ID]])/ValbyACO_ICC1[[#This Row],[2022 Member Months]])</f>
        <v>NA</v>
      </c>
      <c r="AA109" s="118" t="str">
        <f>IF(ValbyACO_ICC1[[#This Row],[2022 Member Months]]=0,"NA",SUMIFS(ACOAETME2022[[#All],[TOTAL Non-Truncated Unadjusted Claims Expenses]],ACOAETME2022[[#All],[Insurance Category Code]], $E$104,ACOAETME2022[[#All],[ACO/AE or Insurer Overall Organization ID]],ValbyACO_ICC1[[#This Row],[Org ID]])/ValbyACO_ICC1[[#This Row],[2022 Member Months]])</f>
        <v>NA</v>
      </c>
      <c r="AB109" s="118" t="str">
        <f>IF(ValbyACO_ICC1[[#This Row],[2022 Member Months]]=0,"NA",SUMIFS(ACOAETME2022[[#All],[TOTAL Truncated Unadjusted Expenses (A20+A21)]],ACOAETME2022[[#All],[Insurance Category Code]], $E$104,ACOAETME2022[[#All],[ACO/AE or Insurer Overall Organization ID]],ValbyACO_ICC1[[#This Row],[Org ID]])/ValbyACO_ICC1[[#This Row],[2022 Member Months]])</f>
        <v>NA</v>
      </c>
      <c r="AC109" s="118" t="str">
        <f>IF(ValbyACO_ICC1[[#This Row],[2022 Member Months]]=0,"NA",SUMIFS(ACOAETME2022[[#All],[TOTAL Non-Claims Expenses]],ACOAETME2022[[#All],[Insurance Category Code]], $E$104,ACOAETME2022[[#All],[ACO/AE or Insurer Overall Organization ID]],ValbyACO_ICC1[[#This Row],[Org ID]])/ValbyACO_ICC1[[#This Row],[2022 Member Months]])</f>
        <v>NA</v>
      </c>
      <c r="AD109" s="268" t="str">
        <f>IF(ValbyACO_ICC1[[#This Row],[2022 Member Months]]=0,"NA",SUMIFS(ACOAETME2022[[#All],[TOTAL Non-Truncated Unadjusted Expenses 
(A19+A21)]],ACOAETME2022[[#All],[Insurance Category Code]], $E$104,ACOAETME2022[[#All],[ACO/AE or Insurer Overall Organization ID]],ValbyACO_ICC1[[#This Row],[Org ID]])/ValbyACO_ICC1[[#This Row],[2022 Member Months]])</f>
        <v>NA</v>
      </c>
      <c r="AE109" s="119" t="str">
        <f>IF(ValbyACO_ICC1[[#This Row],[2022 Member Months]]=0,"NA",SUMIFS(ACOAETME2022[[#All],[TOTAL Truncated Unadjusted Expenses (A20+A21)]],ACOAETME2022[[#All],[Insurance Category Code]],$E$104,ACOAETME2022[[#All],[ACO/AE or Insurer Overall Organization ID]],ValbyACO_ICC1[[#This Row],[Org ID]])/ValbyACO_ICC1[[#This Row],[2022 Member Months]])</f>
        <v>NA</v>
      </c>
      <c r="AF109" s="161" t="str">
        <f>IFERROR(IF(ValbyACO_ICC1[[#This Row],[2021 Member Months]]=0,"NA",ValbyACO_ICC1[[#This Row],[2022 Member Months]]/ValbyACO_ICC1[[#This Row],[2021 Member Months]]-1),"NA")</f>
        <v>NA</v>
      </c>
      <c r="AG109" s="161" t="str">
        <f>IFERROR(IF(ValbyACO_ICC1[[#This Row],[2021 Member Months]]=0,"NA",ValbyACO_ICC1[[#This Row],[2022 Claims: Hospital Inpatient]]/ValbyACO_ICC1[[#This Row],[2021 Claims: Hospital Inpatient]]-1),"NA")</f>
        <v>NA</v>
      </c>
      <c r="AH109" s="162" t="str">
        <f>IFERROR(IF(ValbyACO_ICC1[[#This Row],[2021 Member Months]]=0,"NA",ValbyACO_ICC1[[#This Row],[2022 Claims: Hospital Outpatient]]/ValbyACO_ICC1[[#This Row],[2021 Claims: Hospital Outpatient]]-1),"NA")</f>
        <v>NA</v>
      </c>
      <c r="AI109" s="162" t="str">
        <f>IFERROR(IF(ValbyACO_ICC1[[#This Row],[2021 Member Months]]=0,"NA",ValbyACO_ICC1[[#This Row],[2022 Claims: Professional, Primary Care]]/ValbyACO_ICC1[[#This Row],[2021 Claims: Professional, Primary Care]]-1),"NA")</f>
        <v>NA</v>
      </c>
      <c r="AJ109" s="162" t="str">
        <f>IFERROR(IF(ValbyACO_ICC1[[#This Row],[2021 Member Months]]=0,"NA",ValbyACO_ICC1[[#This Row],[2022 Claims: Professional, Specialty Care]]/ValbyACO_ICC1[[#This Row],[2021 Claims: Professional, Specialty Care]]-1),"NA")</f>
        <v>NA</v>
      </c>
      <c r="AK109" s="162" t="str">
        <f>IFERROR(IF(ValbyACO_ICC1[[#This Row],[2021 Member Months]]=0,"NA", ValbyACO_ICC1[[#This Row],[2022 Claims: Professional Other]]/ValbyACO_ICC1[[#This Row],[2021 Claims: Professional Other]]-1),"NA")</f>
        <v>NA</v>
      </c>
      <c r="AL109" s="162" t="str">
        <f>IFERROR(IF(ValbyACO_ICC1[[#This Row],[2021 Member Months]]=0,"NA",ValbyACO_ICC1[[#This Row],[2022 Claims: Pharmacy (Gross of Retail Pharmacy Rebates)]]/ValbyACO_ICC1[[#This Row],[2021 Claims: Pharmacy (Gross of  Rebates)]]-1),"NA")</f>
        <v>NA</v>
      </c>
      <c r="AM109" s="162" t="str">
        <f>IFERROR(IF(ValbyACO_ICC1[[#This Row],[2021 Member Months]]=0,"NA",ValbyACO_ICC1[[#This Row],[2022 Claims: Long-term Care]]/ValbyACO_ICC1[[#This Row],[2021 Claims: Long-term Care]]-1),"NA")</f>
        <v>NA</v>
      </c>
      <c r="AN109" s="162" t="str">
        <f>IFERROR(IF(ValbyACO_ICC1[[#This Row],[2021 Member Months]]=0,"NA",ValbyACO_ICC1[[#This Row],[2022 Claims: Other]]/ValbyACO_ICC1[[#This Row],[2021 Claims: Other]]-1),"NA")</f>
        <v>NA</v>
      </c>
      <c r="AO109" s="163" t="str">
        <f>IFERROR(IF(ValbyACO_ICC1[[#This Row],[2021 Member Months]]=0,"NA",ValbyACO_ICC1[[#This Row],[2022 TOTAL Non-Truncated Claims Expenses]]/ValbyACO_ICC1[[#This Row],[2021 TOTAL Non-Truncated Claims Expenses]]-1),"NA")</f>
        <v>NA</v>
      </c>
      <c r="AP109" s="163" t="str">
        <f>IFERROR(IF(ValbyACO_ICC1[[#This Row],[2021 Member Months]]=0,"NA",ValbyACO_ICC1[[#This Row],[2022 TOTAL Truncated Claims Expenses]]/ValbyACO_ICC1[[#This Row],[2021 TOTAL Truncated Claims Expenses]]-1),"NA")</f>
        <v>NA</v>
      </c>
      <c r="AQ109" s="163" t="str">
        <f>IFERROR(IF(ValbyACO_ICC1[[#This Row],[2021 Member Months]]=0,"NA",ValbyACO_ICC1[[#This Row],[2022 TOTAL Non-Claims Expenses]]/ValbyACO_ICC1[[#This Row],[2021 TOTAL Non-Claims Expenses]]-1),"NA")</f>
        <v>NA</v>
      </c>
      <c r="AR109" s="163" t="str">
        <f>IFERROR(IF(ValbyACO_ICC1[[#This Row],[2021 Member Months]]=0,"NA",ValbyACO_ICC1[[#This Row],[2022 TOTAL Non-Truncated Total Expenses]]/ValbyACO_ICC1[[#This Row],[2021 TOTAL Non-Truncated Total Expenses]]-1),"NA")</f>
        <v>NA</v>
      </c>
      <c r="AS109" s="163" t="str">
        <f>IFERROR(IF(ValbyACO_ICC1[[#This Row],[2021 Member Months]]=0,"NA",ValbyACO_ICC1[[#This Row],[2022 TOTAL Truncated Total Expenses]]/ValbyACO_ICC1[[#This Row],[2021 TOTAL Truncated Total Expenses]]-1),"NA")</f>
        <v>NA</v>
      </c>
    </row>
    <row r="110" spans="1:45" x14ac:dyDescent="0.35">
      <c r="A110" s="129"/>
      <c r="B110" s="250">
        <v>105</v>
      </c>
      <c r="C110" s="291" t="s">
        <v>169</v>
      </c>
      <c r="D110" s="272">
        <f>SUMIFS(ACOAETME2021[[#All],[Member Months]], ACOAETME2021[[#All],[Insurance Category Code]], $E$104, ACOAETME2021[[#All],[ACO/AE or Insurer Overall Organization ID]], ValbyACO_ICC1[[#This Row],[Org ID]])</f>
        <v>0</v>
      </c>
      <c r="E110" s="268" t="str">
        <f>IFERROR(IF(ValbyACO_ICC1[[#This Row],[2021 Member Months]]=0,"NA",SUMIFS(ACOAETME2021[[#All],[Claims: Hospital Inpatient]], ACOAETME2021[[#All],[Insurance Category Code]], $E$104, ACOAETME2021[[#All],[ACO/AE or Insurer Overall Organization ID]], ValbyACO_ICC1[[#This Row],[Org ID]])/ValbyACO_ICC1[[#This Row],[2021 Member Months]]), "NA")</f>
        <v>NA</v>
      </c>
      <c r="F110" s="268" t="str">
        <f>IFERROR(IF(ValbyACO_ICC1[[#This Row],[2021 Member Months]]=0,"NA",SUMIFS(ACOAETME2021[[#All],[Claims: Hospital Outpatient]], ACOAETME2021[[#All],[Insurance Category Code]], $E$104, ACOAETME2021[[#All],[ACO/AE or Insurer Overall Organization ID]], ValbyACO_ICC1[[#This Row],[Org ID]])/ValbyACO_ICC1[[#This Row],[2021 Member Months]]), "NA")</f>
        <v>NA</v>
      </c>
      <c r="G110" s="268" t="str">
        <f>IFERROR(IF(ValbyACO_ICC1[[#This Row],[2021 Member Months]]=0,"NA",SUMIFS(ACOAETME2021[[#All],[Claims: Professional, Primary Care]], ACOAETME2021[[#All],[Insurance Category Code]], $E$104, ACOAETME2021[[#All],[ACO/AE or Insurer Overall Organization ID]], ValbyACO_ICC1[[#This Row],[Org ID]])/ValbyACO_ICC1[[#This Row],[2021 Member Months]]), "NA")</f>
        <v>NA</v>
      </c>
      <c r="H110" s="268" t="str">
        <f>IFERROR(IF(ValbyACO_ICC1[[#This Row],[2021 Member Months]]=0,"NA",SUMIFS(ACOAETME2021[[#All],[Claims: Professional, Specialty Care]], ACOAETME2021[[#All],[Insurance Category Code]], $E$104, ACOAETME2021[[#All],[ACO/AE or Insurer Overall Organization ID]], ValbyACO_ICC1[[#This Row],[Org ID]])/ValbyACO_ICC1[[#This Row],[2021 Member Months]]), "NA")</f>
        <v>NA</v>
      </c>
      <c r="I110" s="268" t="str">
        <f>IFERROR(IF(ValbyACO_ICC1[[#This Row],[2021 Member Months]]=0,"NA",SUMIFS(ACOAETME2021[[#All],[Claims: Professional Other]], ACOAETME2021[[#All],[Insurance Category Code]], $E$104, ACOAETME2021[[#All],[ACO/AE or Insurer Overall Organization ID]], ValbyACO_ICC1[[#This Row],[Org ID]])/ValbyACO_ICC1[[#This Row],[2021 Member Months]]), "NA")</f>
        <v>NA</v>
      </c>
      <c r="J110" s="268" t="str">
        <f>IFERROR(IF(ValbyACO_ICC1[[#This Row],[2021 Member Months]]=0,"NA",SUMIFS(ACOAETME2021[[#All],[Claims: Pharmacy]], ACOAETME2021[[#All],[Insurance Category Code]], $E$104, ACOAETME2021[[#All],[ACO/AE or Insurer Overall Organization ID]], ValbyACO_ICC1[[#This Row],[Org ID]])/ValbyACO_ICC1[[#This Row],[2021 Member Months]]), "NA")</f>
        <v>NA</v>
      </c>
      <c r="K110" s="268" t="str">
        <f>IFERROR(IF(ValbyACO_ICC1[[#This Row],[2021 Member Months]]=0,"NA",SUMIFS(ACOAETME2021[[#All],[Claims: Long-Term Care]], ACOAETME2021[[#All],[Insurance Category Code]], $E$104, ACOAETME2021[[#All],[ACO/AE or Insurer Overall Organization ID]], ValbyACO_ICC1[[#This Row],[Org ID]])/ValbyACO_ICC1[[#This Row],[2021 Member Months]]), "NA")</f>
        <v>NA</v>
      </c>
      <c r="L110" s="268" t="str">
        <f>IFERROR(IF(ValbyACO_ICC1[[#This Row],[2021 Member Months]]=0,"NA",SUMIFS(ACOAETME2021[[#All],[Claims: Other]], ACOAETME2021[[#All],[Insurance Category Code]], $E$104, ACOAETME2021[[#All],[ACO/AE or Insurer Overall Organization ID]], ValbyACO_ICC1[[#This Row],[Org ID]])/ValbyACO_ICC1[[#This Row],[2021 Member Months]]), "NA")</f>
        <v>NA</v>
      </c>
      <c r="M110" s="118" t="str">
        <f>IF(ValbyACO_ICC1[[#This Row],[2021 Member Months]]=0,"NA",SUMIFS(ACOAETME2021[[#All],[TOTAL Non-Truncated Unadjusted Claims Expenses]], ACOAETME2021[[#All],[Insurance Category Code]], $E$104, ACOAETME2021[[#All],[ACO/AE or Insurer Overall Organization ID]], ValbyACO_ICC1[[#This Row],[Org ID]])/ValbyACO_ICC1[[#This Row],[2021 Member Months]])</f>
        <v>NA</v>
      </c>
      <c r="N110" s="118" t="str">
        <f>IF(ValbyACO_ICC1[[#This Row],[2021 Member Months]]=0,"NA",SUMIFS(ACOAETME2021[[#All],[TOTAL Truncated Unadjusted Claims Expenses (A19 - A17)]], ACOAETME2021[[#All],[Insurance Category Code]], $E$104, ACOAETME2021[[#All],[ACO/AE or Insurer Overall Organization ID]], ValbyACO_ICC1[[#This Row],[Org ID]])/ValbyACO_ICC1[[#This Row],[2021 Member Months]])</f>
        <v>NA</v>
      </c>
      <c r="O110" s="118" t="str">
        <f>IF(ValbyACO_ICC1[[#This Row],[2021 Member Months]]=0,"NA",SUMIFS(ACOAETME2021[[#All],[TOTAL Non-Claims Expenses]], ACOAETME2021[[#All],[Insurance Category Code]], $E$104, ACOAETME2021[[#All],[ACO/AE or Insurer Overall Organization ID]], ValbyACO_ICC1[[#This Row],[Org ID]])/ValbyACO_ICC1[[#This Row],[2021 Member Months]])</f>
        <v>NA</v>
      </c>
      <c r="P110" s="268" t="str">
        <f>IF(ValbyACO_ICC1[[#This Row],[2021 Member Months]]=0, "NA", SUMIFS(ACOAETME2021[[#All],[TOTAL Non-Truncated Unadjusted Expenses 
(A19+A21)]], ACOAETME2021[[#All],[Insurance Category Code]], $E$104, ACOAETME2021[[#All],[ACO/AE or Insurer Overall Organization ID]], ValbyACO_ICC1[[#This Row],[Org ID]])/ValbyACO_ICC1[[#This Row],[2021 Member Months]])</f>
        <v>NA</v>
      </c>
      <c r="Q110" s="119" t="str">
        <f>IF(ValbyACO_ICC1[[#This Row],[2021 Member Months]]=0, "NA", SUMIFS(ACOAETME2021[[#All],[TOTAL Truncated Unadjusted Expenses (A20+A21)]], ACOAETME2021[[#All],[Insurance Category Code]], $E$104, ACOAETME2021[[#All],[ACO/AE or Insurer Overall Organization ID]], ValbyACO_ICC1[[#This Row],[Org ID]])/ValbyACO_ICC1[[#This Row],[2021 Member Months]])</f>
        <v>NA</v>
      </c>
      <c r="R110" s="272">
        <f>SUMIFS(ACOAETME2022[[#All],[Member Months]],ACOAETME2022[[#All],[Insurance Category Code]], $E$104,ACOAETME2022[[#All],[ACO/AE or Insurer Overall Organization ID]],ValbyACO_ICC1[[#This Row],[Org ID]])</f>
        <v>0</v>
      </c>
      <c r="S110" s="118" t="str">
        <f>IF(ValbyACO_ICC1[[#This Row],[2022 Member Months]]=0,"NA",SUMIFS(ACOAETME2022[[#All],[Claims: Hospital Inpatient]],ACOAETME2022[[#All],[Insurance Category Code]], $E$104,ACOAETME2022[[#All],[ACO/AE or Insurer Overall Organization ID]],ValbyACO_ICC1[[#This Row],[Org ID]])/ValbyACO_ICC1[[#This Row],[2022 Member Months]])</f>
        <v>NA</v>
      </c>
      <c r="T110" s="118" t="str">
        <f>IF(ValbyACO_ICC1[[#This Row],[2022 Member Months]]=0,"NA",SUMIFS(ACOAETME2022[[#All],[Claims: Hospital Outpatient]],ACOAETME2022[[#All],[Insurance Category Code]], $E$104,ACOAETME2022[[#All],[ACO/AE or Insurer Overall Organization ID]],ValbyACO_ICC1[[#This Row],[Org ID]])/ValbyACO_ICC1[[#This Row],[2022 Member Months]])</f>
        <v>NA</v>
      </c>
      <c r="U110" s="118" t="str">
        <f>IF(ValbyACO_ICC1[[#This Row],[2022 Member Months]]=0,"NA",SUMIFS(ACOAETME2022[[#All],[Claims: Professional, Primary Care]],ACOAETME2022[[#All],[Insurance Category Code]], $E$104,ACOAETME2022[[#All],[ACO/AE or Insurer Overall Organization ID]],ValbyACO_ICC1[[#This Row],[Org ID]])/ValbyACO_ICC1[[#This Row],[2022 Member Months]])</f>
        <v>NA</v>
      </c>
      <c r="V110" s="118" t="str">
        <f>IF(ValbyACO_ICC1[[#This Row],[2022 Member Months]]=0,"NA",SUMIFS(ACOAETME2022[[#All],[Claims: Professional, Specialty Care]],ACOAETME2022[[#All],[Insurance Category Code]], $E$104,ACOAETME2022[[#All],[ACO/AE or Insurer Overall Organization ID]],ValbyACO_ICC1[[#This Row],[Org ID]])/ValbyACO_ICC1[[#This Row],[2022 Member Months]])</f>
        <v>NA</v>
      </c>
      <c r="W110" s="118" t="str">
        <f>IF(ValbyACO_ICC1[[#This Row],[2022 Member Months]]=0,"NA",SUMIFS(ACOAETME2022[[#All],[Claims: Professional Other]],ACOAETME2022[[#All],[Insurance Category Code]], $E$104,ACOAETME2022[[#All],[ACO/AE or Insurer Overall Organization ID]],ValbyACO_ICC1[[#This Row],[Org ID]])/ValbyACO_ICC1[[#This Row],[2022 Member Months]])</f>
        <v>NA</v>
      </c>
      <c r="X110" s="118" t="str">
        <f>IF(ValbyACO_ICC1[[#This Row],[2022 Member Months]]=0,"NA",SUMIFS(ACOAETME2022[[#All],[Claims: Pharmacy]],ACOAETME2022[[#All],[Insurance Category Code]], $E$104,ACOAETME2022[[#All],[ACO/AE or Insurer Overall Organization ID]],ValbyACO_ICC1[[#This Row],[Org ID]])/ValbyACO_ICC1[[#This Row],[2022 Member Months]])</f>
        <v>NA</v>
      </c>
      <c r="Y110" s="118" t="str">
        <f>IF(ValbyACO_ICC1[[#This Row],[2022 Member Months]]=0,"NA",SUMIFS(ACOAETME2022[[#All],[Claims: Long-Term Care]],ACOAETME2022[[#All],[Insurance Category Code]], $E$104,ACOAETME2022[[#All],[ACO/AE or Insurer Overall Organization ID]],ValbyACO_ICC1[[#This Row],[Org ID]])/ValbyACO_ICC1[[#This Row],[2022 Member Months]])</f>
        <v>NA</v>
      </c>
      <c r="Z110" s="118" t="str">
        <f>IF(ValbyACO_ICC1[[#This Row],[2022 Member Months]]=0,"NA",SUMIFS(ACOAETME2022[[#All],[Claims: Other]],ACOAETME2022[[#All],[Insurance Category Code]], $E$104,ACOAETME2022[[#All],[ACO/AE or Insurer Overall Organization ID]],ValbyACO_ICC1[[#This Row],[Org ID]])/ValbyACO_ICC1[[#This Row],[2022 Member Months]])</f>
        <v>NA</v>
      </c>
      <c r="AA110" s="118" t="str">
        <f>IF(ValbyACO_ICC1[[#This Row],[2022 Member Months]]=0,"NA",SUMIFS(ACOAETME2022[[#All],[TOTAL Non-Truncated Unadjusted Claims Expenses]],ACOAETME2022[[#All],[Insurance Category Code]], $E$104,ACOAETME2022[[#All],[ACO/AE or Insurer Overall Organization ID]],ValbyACO_ICC1[[#This Row],[Org ID]])/ValbyACO_ICC1[[#This Row],[2022 Member Months]])</f>
        <v>NA</v>
      </c>
      <c r="AB110" s="118" t="str">
        <f>IF(ValbyACO_ICC1[[#This Row],[2022 Member Months]]=0,"NA",SUMIFS(ACOAETME2022[[#All],[TOTAL Truncated Unadjusted Expenses (A20+A21)]],ACOAETME2022[[#All],[Insurance Category Code]], $E$104,ACOAETME2022[[#All],[ACO/AE or Insurer Overall Organization ID]],ValbyACO_ICC1[[#This Row],[Org ID]])/ValbyACO_ICC1[[#This Row],[2022 Member Months]])</f>
        <v>NA</v>
      </c>
      <c r="AC110" s="118" t="str">
        <f>IF(ValbyACO_ICC1[[#This Row],[2022 Member Months]]=0,"NA",SUMIFS(ACOAETME2022[[#All],[TOTAL Non-Claims Expenses]],ACOAETME2022[[#All],[Insurance Category Code]], $E$104,ACOAETME2022[[#All],[ACO/AE or Insurer Overall Organization ID]],ValbyACO_ICC1[[#This Row],[Org ID]])/ValbyACO_ICC1[[#This Row],[2022 Member Months]])</f>
        <v>NA</v>
      </c>
      <c r="AD110" s="268" t="str">
        <f>IF(ValbyACO_ICC1[[#This Row],[2022 Member Months]]=0,"NA",SUMIFS(ACOAETME2022[[#All],[TOTAL Non-Truncated Unadjusted Expenses 
(A19+A21)]],ACOAETME2022[[#All],[Insurance Category Code]], $E$104,ACOAETME2022[[#All],[ACO/AE or Insurer Overall Organization ID]],ValbyACO_ICC1[[#This Row],[Org ID]])/ValbyACO_ICC1[[#This Row],[2022 Member Months]])</f>
        <v>NA</v>
      </c>
      <c r="AE110" s="119" t="str">
        <f>IF(ValbyACO_ICC1[[#This Row],[2022 Member Months]]=0,"NA",SUMIFS(ACOAETME2022[[#All],[TOTAL Truncated Unadjusted Expenses (A20+A21)]],ACOAETME2022[[#All],[Insurance Category Code]],$E$104,ACOAETME2022[[#All],[ACO/AE or Insurer Overall Organization ID]],ValbyACO_ICC1[[#This Row],[Org ID]])/ValbyACO_ICC1[[#This Row],[2022 Member Months]])</f>
        <v>NA</v>
      </c>
      <c r="AF110" s="161" t="str">
        <f>IFERROR(IF(ValbyACO_ICC1[[#This Row],[2021 Member Months]]=0,"NA",ValbyACO_ICC1[[#This Row],[2022 Member Months]]/ValbyACO_ICC1[[#This Row],[2021 Member Months]]-1),"NA")</f>
        <v>NA</v>
      </c>
      <c r="AG110" s="161" t="str">
        <f>IFERROR(IF(ValbyACO_ICC1[[#This Row],[2021 Member Months]]=0,"NA",ValbyACO_ICC1[[#This Row],[2022 Claims: Hospital Inpatient]]/ValbyACO_ICC1[[#This Row],[2021 Claims: Hospital Inpatient]]-1),"NA")</f>
        <v>NA</v>
      </c>
      <c r="AH110" s="162" t="str">
        <f>IFERROR(IF(ValbyACO_ICC1[[#This Row],[2021 Member Months]]=0,"NA",ValbyACO_ICC1[[#This Row],[2022 Claims: Hospital Outpatient]]/ValbyACO_ICC1[[#This Row],[2021 Claims: Hospital Outpatient]]-1),"NA")</f>
        <v>NA</v>
      </c>
      <c r="AI110" s="162" t="str">
        <f>IFERROR(IF(ValbyACO_ICC1[[#This Row],[2021 Member Months]]=0,"NA",ValbyACO_ICC1[[#This Row],[2022 Claims: Professional, Primary Care]]/ValbyACO_ICC1[[#This Row],[2021 Claims: Professional, Primary Care]]-1),"NA")</f>
        <v>NA</v>
      </c>
      <c r="AJ110" s="162" t="str">
        <f>IFERROR(IF(ValbyACO_ICC1[[#This Row],[2021 Member Months]]=0,"NA",ValbyACO_ICC1[[#This Row],[2022 Claims: Professional, Specialty Care]]/ValbyACO_ICC1[[#This Row],[2021 Claims: Professional, Specialty Care]]-1),"NA")</f>
        <v>NA</v>
      </c>
      <c r="AK110" s="162" t="str">
        <f>IFERROR(IF(ValbyACO_ICC1[[#This Row],[2021 Member Months]]=0,"NA", ValbyACO_ICC1[[#This Row],[2022 Claims: Professional Other]]/ValbyACO_ICC1[[#This Row],[2021 Claims: Professional Other]]-1),"NA")</f>
        <v>NA</v>
      </c>
      <c r="AL110" s="162" t="str">
        <f>IFERROR(IF(ValbyACO_ICC1[[#This Row],[2021 Member Months]]=0,"NA",ValbyACO_ICC1[[#This Row],[2022 Claims: Pharmacy (Gross of Retail Pharmacy Rebates)]]/ValbyACO_ICC1[[#This Row],[2021 Claims: Pharmacy (Gross of  Rebates)]]-1),"NA")</f>
        <v>NA</v>
      </c>
      <c r="AM110" s="162" t="str">
        <f>IFERROR(IF(ValbyACO_ICC1[[#This Row],[2021 Member Months]]=0,"NA",ValbyACO_ICC1[[#This Row],[2022 Claims: Long-term Care]]/ValbyACO_ICC1[[#This Row],[2021 Claims: Long-term Care]]-1),"NA")</f>
        <v>NA</v>
      </c>
      <c r="AN110" s="162" t="str">
        <f>IFERROR(IF(ValbyACO_ICC1[[#This Row],[2021 Member Months]]=0,"NA",ValbyACO_ICC1[[#This Row],[2022 Claims: Other]]/ValbyACO_ICC1[[#This Row],[2021 Claims: Other]]-1),"NA")</f>
        <v>NA</v>
      </c>
      <c r="AO110" s="163" t="str">
        <f>IFERROR(IF(ValbyACO_ICC1[[#This Row],[2021 Member Months]]=0,"NA",ValbyACO_ICC1[[#This Row],[2022 TOTAL Non-Truncated Claims Expenses]]/ValbyACO_ICC1[[#This Row],[2021 TOTAL Non-Truncated Claims Expenses]]-1),"NA")</f>
        <v>NA</v>
      </c>
      <c r="AP110" s="163" t="str">
        <f>IFERROR(IF(ValbyACO_ICC1[[#This Row],[2021 Member Months]]=0,"NA",ValbyACO_ICC1[[#This Row],[2022 TOTAL Truncated Claims Expenses]]/ValbyACO_ICC1[[#This Row],[2021 TOTAL Truncated Claims Expenses]]-1),"NA")</f>
        <v>NA</v>
      </c>
      <c r="AQ110" s="163" t="str">
        <f>IFERROR(IF(ValbyACO_ICC1[[#This Row],[2021 Member Months]]=0,"NA",ValbyACO_ICC1[[#This Row],[2022 TOTAL Non-Claims Expenses]]/ValbyACO_ICC1[[#This Row],[2021 TOTAL Non-Claims Expenses]]-1),"NA")</f>
        <v>NA</v>
      </c>
      <c r="AR110" s="163" t="str">
        <f>IFERROR(IF(ValbyACO_ICC1[[#This Row],[2021 Member Months]]=0,"NA",ValbyACO_ICC1[[#This Row],[2022 TOTAL Non-Truncated Total Expenses]]/ValbyACO_ICC1[[#This Row],[2021 TOTAL Non-Truncated Total Expenses]]-1),"NA")</f>
        <v>NA</v>
      </c>
      <c r="AS110" s="163" t="str">
        <f>IFERROR(IF(ValbyACO_ICC1[[#This Row],[2021 Member Months]]=0,"NA",ValbyACO_ICC1[[#This Row],[2022 TOTAL Truncated Total Expenses]]/ValbyACO_ICC1[[#This Row],[2021 TOTAL Truncated Total Expenses]]-1),"NA")</f>
        <v>NA</v>
      </c>
    </row>
    <row r="111" spans="1:45" x14ac:dyDescent="0.35">
      <c r="A111" s="129"/>
      <c r="B111" s="250">
        <v>106</v>
      </c>
      <c r="C111" s="291" t="s">
        <v>170</v>
      </c>
      <c r="D111" s="272">
        <f>SUMIFS(ACOAETME2021[[#All],[Member Months]], ACOAETME2021[[#All],[Insurance Category Code]], $E$104, ACOAETME2021[[#All],[ACO/AE or Insurer Overall Organization ID]], ValbyACO_ICC1[[#This Row],[Org ID]])</f>
        <v>0</v>
      </c>
      <c r="E111" s="268" t="str">
        <f>IFERROR(IF(ValbyACO_ICC1[[#This Row],[2021 Member Months]]=0,"NA",SUMIFS(ACOAETME2021[[#All],[Claims: Hospital Inpatient]], ACOAETME2021[[#All],[Insurance Category Code]], $E$104, ACOAETME2021[[#All],[ACO/AE or Insurer Overall Organization ID]], ValbyACO_ICC1[[#This Row],[Org ID]])/ValbyACO_ICC1[[#This Row],[2021 Member Months]]), "NA")</f>
        <v>NA</v>
      </c>
      <c r="F111" s="268" t="str">
        <f>IFERROR(IF(ValbyACO_ICC1[[#This Row],[2021 Member Months]]=0,"NA",SUMIFS(ACOAETME2021[[#All],[Claims: Hospital Outpatient]], ACOAETME2021[[#All],[Insurance Category Code]], $E$104, ACOAETME2021[[#All],[ACO/AE or Insurer Overall Organization ID]], ValbyACO_ICC1[[#This Row],[Org ID]])/ValbyACO_ICC1[[#This Row],[2021 Member Months]]), "NA")</f>
        <v>NA</v>
      </c>
      <c r="G111" s="268" t="str">
        <f>IFERROR(IF(ValbyACO_ICC1[[#This Row],[2021 Member Months]]=0,"NA",SUMIFS(ACOAETME2021[[#All],[Claims: Professional, Primary Care]], ACOAETME2021[[#All],[Insurance Category Code]], $E$104, ACOAETME2021[[#All],[ACO/AE or Insurer Overall Organization ID]], ValbyACO_ICC1[[#This Row],[Org ID]])/ValbyACO_ICC1[[#This Row],[2021 Member Months]]), "NA")</f>
        <v>NA</v>
      </c>
      <c r="H111" s="268" t="str">
        <f>IFERROR(IF(ValbyACO_ICC1[[#This Row],[2021 Member Months]]=0,"NA",SUMIFS(ACOAETME2021[[#All],[Claims: Professional, Specialty Care]], ACOAETME2021[[#All],[Insurance Category Code]], $E$104, ACOAETME2021[[#All],[ACO/AE or Insurer Overall Organization ID]], ValbyACO_ICC1[[#This Row],[Org ID]])/ValbyACO_ICC1[[#This Row],[2021 Member Months]]), "NA")</f>
        <v>NA</v>
      </c>
      <c r="I111" s="268" t="str">
        <f>IFERROR(IF(ValbyACO_ICC1[[#This Row],[2021 Member Months]]=0,"NA",SUMIFS(ACOAETME2021[[#All],[Claims: Professional Other]], ACOAETME2021[[#All],[Insurance Category Code]], $E$104, ACOAETME2021[[#All],[ACO/AE or Insurer Overall Organization ID]], ValbyACO_ICC1[[#This Row],[Org ID]])/ValbyACO_ICC1[[#This Row],[2021 Member Months]]), "NA")</f>
        <v>NA</v>
      </c>
      <c r="J111" s="268" t="str">
        <f>IFERROR(IF(ValbyACO_ICC1[[#This Row],[2021 Member Months]]=0,"NA",SUMIFS(ACOAETME2021[[#All],[Claims: Pharmacy]], ACOAETME2021[[#All],[Insurance Category Code]], $E$104, ACOAETME2021[[#All],[ACO/AE or Insurer Overall Organization ID]], ValbyACO_ICC1[[#This Row],[Org ID]])/ValbyACO_ICC1[[#This Row],[2021 Member Months]]), "NA")</f>
        <v>NA</v>
      </c>
      <c r="K111" s="268" t="str">
        <f>IFERROR(IF(ValbyACO_ICC1[[#This Row],[2021 Member Months]]=0,"NA",SUMIFS(ACOAETME2021[[#All],[Claims: Long-Term Care]], ACOAETME2021[[#All],[Insurance Category Code]], $E$104, ACOAETME2021[[#All],[ACO/AE or Insurer Overall Organization ID]], ValbyACO_ICC1[[#This Row],[Org ID]])/ValbyACO_ICC1[[#This Row],[2021 Member Months]]), "NA")</f>
        <v>NA</v>
      </c>
      <c r="L111" s="268" t="str">
        <f>IFERROR(IF(ValbyACO_ICC1[[#This Row],[2021 Member Months]]=0,"NA",SUMIFS(ACOAETME2021[[#All],[Claims: Other]], ACOAETME2021[[#All],[Insurance Category Code]], $E$104, ACOAETME2021[[#All],[ACO/AE or Insurer Overall Organization ID]], ValbyACO_ICC1[[#This Row],[Org ID]])/ValbyACO_ICC1[[#This Row],[2021 Member Months]]), "NA")</f>
        <v>NA</v>
      </c>
      <c r="M111" s="118" t="str">
        <f>IF(ValbyACO_ICC1[[#This Row],[2021 Member Months]]=0,"NA",SUMIFS(ACOAETME2021[[#All],[TOTAL Non-Truncated Unadjusted Claims Expenses]], ACOAETME2021[[#All],[Insurance Category Code]], $E$104, ACOAETME2021[[#All],[ACO/AE or Insurer Overall Organization ID]], ValbyACO_ICC1[[#This Row],[Org ID]])/ValbyACO_ICC1[[#This Row],[2021 Member Months]])</f>
        <v>NA</v>
      </c>
      <c r="N111" s="118" t="str">
        <f>IF(ValbyACO_ICC1[[#This Row],[2021 Member Months]]=0,"NA",SUMIFS(ACOAETME2021[[#All],[TOTAL Truncated Unadjusted Claims Expenses (A19 - A17)]], ACOAETME2021[[#All],[Insurance Category Code]], $E$104, ACOAETME2021[[#All],[ACO/AE or Insurer Overall Organization ID]], ValbyACO_ICC1[[#This Row],[Org ID]])/ValbyACO_ICC1[[#This Row],[2021 Member Months]])</f>
        <v>NA</v>
      </c>
      <c r="O111" s="118" t="str">
        <f>IF(ValbyACO_ICC1[[#This Row],[2021 Member Months]]=0,"NA",SUMIFS(ACOAETME2021[[#All],[TOTAL Non-Claims Expenses]], ACOAETME2021[[#All],[Insurance Category Code]], $E$104, ACOAETME2021[[#All],[ACO/AE or Insurer Overall Organization ID]], ValbyACO_ICC1[[#This Row],[Org ID]])/ValbyACO_ICC1[[#This Row],[2021 Member Months]])</f>
        <v>NA</v>
      </c>
      <c r="P111" s="268" t="str">
        <f>IF(ValbyACO_ICC1[[#This Row],[2021 Member Months]]=0, "NA", SUMIFS(ACOAETME2021[[#All],[TOTAL Non-Truncated Unadjusted Expenses 
(A19+A21)]], ACOAETME2021[[#All],[Insurance Category Code]], $E$104, ACOAETME2021[[#All],[ACO/AE or Insurer Overall Organization ID]], ValbyACO_ICC1[[#This Row],[Org ID]])/ValbyACO_ICC1[[#This Row],[2021 Member Months]])</f>
        <v>NA</v>
      </c>
      <c r="Q111" s="119" t="str">
        <f>IF(ValbyACO_ICC1[[#This Row],[2021 Member Months]]=0, "NA", SUMIFS(ACOAETME2021[[#All],[TOTAL Truncated Unadjusted Expenses (A20+A21)]], ACOAETME2021[[#All],[Insurance Category Code]], $E$104, ACOAETME2021[[#All],[ACO/AE or Insurer Overall Organization ID]], ValbyACO_ICC1[[#This Row],[Org ID]])/ValbyACO_ICC1[[#This Row],[2021 Member Months]])</f>
        <v>NA</v>
      </c>
      <c r="R111" s="272">
        <f>SUMIFS(ACOAETME2022[[#All],[Member Months]],ACOAETME2022[[#All],[Insurance Category Code]], $E$104,ACOAETME2022[[#All],[ACO/AE or Insurer Overall Organization ID]],ValbyACO_ICC1[[#This Row],[Org ID]])</f>
        <v>0</v>
      </c>
      <c r="S111" s="118" t="str">
        <f>IF(ValbyACO_ICC1[[#This Row],[2022 Member Months]]=0,"NA",SUMIFS(ACOAETME2022[[#All],[Claims: Hospital Inpatient]],ACOAETME2022[[#All],[Insurance Category Code]], $E$104,ACOAETME2022[[#All],[ACO/AE or Insurer Overall Organization ID]],ValbyACO_ICC1[[#This Row],[Org ID]])/ValbyACO_ICC1[[#This Row],[2022 Member Months]])</f>
        <v>NA</v>
      </c>
      <c r="T111" s="118" t="str">
        <f>IF(ValbyACO_ICC1[[#This Row],[2022 Member Months]]=0,"NA",SUMIFS(ACOAETME2022[[#All],[Claims: Hospital Outpatient]],ACOAETME2022[[#All],[Insurance Category Code]], $E$104,ACOAETME2022[[#All],[ACO/AE or Insurer Overall Organization ID]],ValbyACO_ICC1[[#This Row],[Org ID]])/ValbyACO_ICC1[[#This Row],[2022 Member Months]])</f>
        <v>NA</v>
      </c>
      <c r="U111" s="118" t="str">
        <f>IF(ValbyACO_ICC1[[#This Row],[2022 Member Months]]=0,"NA",SUMIFS(ACOAETME2022[[#All],[Claims: Professional, Primary Care]],ACOAETME2022[[#All],[Insurance Category Code]], $E$104,ACOAETME2022[[#All],[ACO/AE or Insurer Overall Organization ID]],ValbyACO_ICC1[[#This Row],[Org ID]])/ValbyACO_ICC1[[#This Row],[2022 Member Months]])</f>
        <v>NA</v>
      </c>
      <c r="V111" s="118" t="str">
        <f>IF(ValbyACO_ICC1[[#This Row],[2022 Member Months]]=0,"NA",SUMIFS(ACOAETME2022[[#All],[Claims: Professional, Specialty Care]],ACOAETME2022[[#All],[Insurance Category Code]], $E$104,ACOAETME2022[[#All],[ACO/AE or Insurer Overall Organization ID]],ValbyACO_ICC1[[#This Row],[Org ID]])/ValbyACO_ICC1[[#This Row],[2022 Member Months]])</f>
        <v>NA</v>
      </c>
      <c r="W111" s="118" t="str">
        <f>IF(ValbyACO_ICC1[[#This Row],[2022 Member Months]]=0,"NA",SUMIFS(ACOAETME2022[[#All],[Claims: Professional Other]],ACOAETME2022[[#All],[Insurance Category Code]], $E$104,ACOAETME2022[[#All],[ACO/AE or Insurer Overall Organization ID]],ValbyACO_ICC1[[#This Row],[Org ID]])/ValbyACO_ICC1[[#This Row],[2022 Member Months]])</f>
        <v>NA</v>
      </c>
      <c r="X111" s="118" t="str">
        <f>IF(ValbyACO_ICC1[[#This Row],[2022 Member Months]]=0,"NA",SUMIFS(ACOAETME2022[[#All],[Claims: Pharmacy]],ACOAETME2022[[#All],[Insurance Category Code]], $E$104,ACOAETME2022[[#All],[ACO/AE or Insurer Overall Organization ID]],ValbyACO_ICC1[[#This Row],[Org ID]])/ValbyACO_ICC1[[#This Row],[2022 Member Months]])</f>
        <v>NA</v>
      </c>
      <c r="Y111" s="118" t="str">
        <f>IF(ValbyACO_ICC1[[#This Row],[2022 Member Months]]=0,"NA",SUMIFS(ACOAETME2022[[#All],[Claims: Long-Term Care]],ACOAETME2022[[#All],[Insurance Category Code]], $E$104,ACOAETME2022[[#All],[ACO/AE or Insurer Overall Organization ID]],ValbyACO_ICC1[[#This Row],[Org ID]])/ValbyACO_ICC1[[#This Row],[2022 Member Months]])</f>
        <v>NA</v>
      </c>
      <c r="Z111" s="118" t="str">
        <f>IF(ValbyACO_ICC1[[#This Row],[2022 Member Months]]=0,"NA",SUMIFS(ACOAETME2022[[#All],[Claims: Other]],ACOAETME2022[[#All],[Insurance Category Code]], $E$104,ACOAETME2022[[#All],[ACO/AE or Insurer Overall Organization ID]],ValbyACO_ICC1[[#This Row],[Org ID]])/ValbyACO_ICC1[[#This Row],[2022 Member Months]])</f>
        <v>NA</v>
      </c>
      <c r="AA111" s="118" t="str">
        <f>IF(ValbyACO_ICC1[[#This Row],[2022 Member Months]]=0,"NA",SUMIFS(ACOAETME2022[[#All],[TOTAL Non-Truncated Unadjusted Claims Expenses]],ACOAETME2022[[#All],[Insurance Category Code]], $E$104,ACOAETME2022[[#All],[ACO/AE or Insurer Overall Organization ID]],ValbyACO_ICC1[[#This Row],[Org ID]])/ValbyACO_ICC1[[#This Row],[2022 Member Months]])</f>
        <v>NA</v>
      </c>
      <c r="AB111" s="118" t="str">
        <f>IF(ValbyACO_ICC1[[#This Row],[2022 Member Months]]=0,"NA",SUMIFS(ACOAETME2022[[#All],[TOTAL Truncated Unadjusted Expenses (A20+A21)]],ACOAETME2022[[#All],[Insurance Category Code]], $E$104,ACOAETME2022[[#All],[ACO/AE or Insurer Overall Organization ID]],ValbyACO_ICC1[[#This Row],[Org ID]])/ValbyACO_ICC1[[#This Row],[2022 Member Months]])</f>
        <v>NA</v>
      </c>
      <c r="AC111" s="118" t="str">
        <f>IF(ValbyACO_ICC1[[#This Row],[2022 Member Months]]=0,"NA",SUMIFS(ACOAETME2022[[#All],[TOTAL Non-Claims Expenses]],ACOAETME2022[[#All],[Insurance Category Code]], $E$104,ACOAETME2022[[#All],[ACO/AE or Insurer Overall Organization ID]],ValbyACO_ICC1[[#This Row],[Org ID]])/ValbyACO_ICC1[[#This Row],[2022 Member Months]])</f>
        <v>NA</v>
      </c>
      <c r="AD111" s="268" t="str">
        <f>IF(ValbyACO_ICC1[[#This Row],[2022 Member Months]]=0,"NA",SUMIFS(ACOAETME2022[[#All],[TOTAL Non-Truncated Unadjusted Expenses 
(A19+A21)]],ACOAETME2022[[#All],[Insurance Category Code]], $E$104,ACOAETME2022[[#All],[ACO/AE or Insurer Overall Organization ID]],ValbyACO_ICC1[[#This Row],[Org ID]])/ValbyACO_ICC1[[#This Row],[2022 Member Months]])</f>
        <v>NA</v>
      </c>
      <c r="AE111" s="119" t="str">
        <f>IF(ValbyACO_ICC1[[#This Row],[2022 Member Months]]=0,"NA",SUMIFS(ACOAETME2022[[#All],[TOTAL Truncated Unadjusted Expenses (A20+A21)]],ACOAETME2022[[#All],[Insurance Category Code]],$E$104,ACOAETME2022[[#All],[ACO/AE or Insurer Overall Organization ID]],ValbyACO_ICC1[[#This Row],[Org ID]])/ValbyACO_ICC1[[#This Row],[2022 Member Months]])</f>
        <v>NA</v>
      </c>
      <c r="AF111" s="161" t="str">
        <f>IFERROR(IF(ValbyACO_ICC1[[#This Row],[2021 Member Months]]=0,"NA",ValbyACO_ICC1[[#This Row],[2022 Member Months]]/ValbyACO_ICC1[[#This Row],[2021 Member Months]]-1),"NA")</f>
        <v>NA</v>
      </c>
      <c r="AG111" s="161" t="str">
        <f>IFERROR(IF(ValbyACO_ICC1[[#This Row],[2021 Member Months]]=0,"NA",ValbyACO_ICC1[[#This Row],[2022 Claims: Hospital Inpatient]]/ValbyACO_ICC1[[#This Row],[2021 Claims: Hospital Inpatient]]-1),"NA")</f>
        <v>NA</v>
      </c>
      <c r="AH111" s="162" t="str">
        <f>IFERROR(IF(ValbyACO_ICC1[[#This Row],[2021 Member Months]]=0,"NA",ValbyACO_ICC1[[#This Row],[2022 Claims: Hospital Outpatient]]/ValbyACO_ICC1[[#This Row],[2021 Claims: Hospital Outpatient]]-1),"NA")</f>
        <v>NA</v>
      </c>
      <c r="AI111" s="162" t="str">
        <f>IFERROR(IF(ValbyACO_ICC1[[#This Row],[2021 Member Months]]=0,"NA",ValbyACO_ICC1[[#This Row],[2022 Claims: Professional, Primary Care]]/ValbyACO_ICC1[[#This Row],[2021 Claims: Professional, Primary Care]]-1),"NA")</f>
        <v>NA</v>
      </c>
      <c r="AJ111" s="162" t="str">
        <f>IFERROR(IF(ValbyACO_ICC1[[#This Row],[2021 Member Months]]=0,"NA",ValbyACO_ICC1[[#This Row],[2022 Claims: Professional, Specialty Care]]/ValbyACO_ICC1[[#This Row],[2021 Claims: Professional, Specialty Care]]-1),"NA")</f>
        <v>NA</v>
      </c>
      <c r="AK111" s="162" t="str">
        <f>IFERROR(IF(ValbyACO_ICC1[[#This Row],[2021 Member Months]]=0,"NA", ValbyACO_ICC1[[#This Row],[2022 Claims: Professional Other]]/ValbyACO_ICC1[[#This Row],[2021 Claims: Professional Other]]-1),"NA")</f>
        <v>NA</v>
      </c>
      <c r="AL111" s="162" t="str">
        <f>IFERROR(IF(ValbyACO_ICC1[[#This Row],[2021 Member Months]]=0,"NA",ValbyACO_ICC1[[#This Row],[2022 Claims: Pharmacy (Gross of Retail Pharmacy Rebates)]]/ValbyACO_ICC1[[#This Row],[2021 Claims: Pharmacy (Gross of  Rebates)]]-1),"NA")</f>
        <v>NA</v>
      </c>
      <c r="AM111" s="162" t="str">
        <f>IFERROR(IF(ValbyACO_ICC1[[#This Row],[2021 Member Months]]=0,"NA",ValbyACO_ICC1[[#This Row],[2022 Claims: Long-term Care]]/ValbyACO_ICC1[[#This Row],[2021 Claims: Long-term Care]]-1),"NA")</f>
        <v>NA</v>
      </c>
      <c r="AN111" s="162" t="str">
        <f>IFERROR(IF(ValbyACO_ICC1[[#This Row],[2021 Member Months]]=0,"NA",ValbyACO_ICC1[[#This Row],[2022 Claims: Other]]/ValbyACO_ICC1[[#This Row],[2021 Claims: Other]]-1),"NA")</f>
        <v>NA</v>
      </c>
      <c r="AO111" s="163" t="str">
        <f>IFERROR(IF(ValbyACO_ICC1[[#This Row],[2021 Member Months]]=0,"NA",ValbyACO_ICC1[[#This Row],[2022 TOTAL Non-Truncated Claims Expenses]]/ValbyACO_ICC1[[#This Row],[2021 TOTAL Non-Truncated Claims Expenses]]-1),"NA")</f>
        <v>NA</v>
      </c>
      <c r="AP111" s="163" t="str">
        <f>IFERROR(IF(ValbyACO_ICC1[[#This Row],[2021 Member Months]]=0,"NA",ValbyACO_ICC1[[#This Row],[2022 TOTAL Truncated Claims Expenses]]/ValbyACO_ICC1[[#This Row],[2021 TOTAL Truncated Claims Expenses]]-1),"NA")</f>
        <v>NA</v>
      </c>
      <c r="AQ111" s="163" t="str">
        <f>IFERROR(IF(ValbyACO_ICC1[[#This Row],[2021 Member Months]]=0,"NA",ValbyACO_ICC1[[#This Row],[2022 TOTAL Non-Claims Expenses]]/ValbyACO_ICC1[[#This Row],[2021 TOTAL Non-Claims Expenses]]-1),"NA")</f>
        <v>NA</v>
      </c>
      <c r="AR111" s="163" t="str">
        <f>IFERROR(IF(ValbyACO_ICC1[[#This Row],[2021 Member Months]]=0,"NA",ValbyACO_ICC1[[#This Row],[2022 TOTAL Non-Truncated Total Expenses]]/ValbyACO_ICC1[[#This Row],[2021 TOTAL Non-Truncated Total Expenses]]-1),"NA")</f>
        <v>NA</v>
      </c>
      <c r="AS111" s="163" t="str">
        <f>IFERROR(IF(ValbyACO_ICC1[[#This Row],[2021 Member Months]]=0,"NA",ValbyACO_ICC1[[#This Row],[2022 TOTAL Truncated Total Expenses]]/ValbyACO_ICC1[[#This Row],[2021 TOTAL Truncated Total Expenses]]-1),"NA")</f>
        <v>NA</v>
      </c>
    </row>
    <row r="112" spans="1:45" x14ac:dyDescent="0.35">
      <c r="A112" s="129"/>
      <c r="B112" s="250">
        <v>107</v>
      </c>
      <c r="C112" s="291" t="s">
        <v>171</v>
      </c>
      <c r="D112" s="272">
        <f>SUMIFS(ACOAETME2021[[#All],[Member Months]], ACOAETME2021[[#All],[Insurance Category Code]], $E$104, ACOAETME2021[[#All],[ACO/AE or Insurer Overall Organization ID]], ValbyACO_ICC1[[#This Row],[Org ID]])</f>
        <v>0</v>
      </c>
      <c r="E112" s="268" t="str">
        <f>IFERROR(IF(ValbyACO_ICC1[[#This Row],[2021 Member Months]]=0,"NA",SUMIFS(ACOAETME2021[[#All],[Claims: Hospital Inpatient]], ACOAETME2021[[#All],[Insurance Category Code]], $E$104, ACOAETME2021[[#All],[ACO/AE or Insurer Overall Organization ID]], ValbyACO_ICC1[[#This Row],[Org ID]])/ValbyACO_ICC1[[#This Row],[2021 Member Months]]), "NA")</f>
        <v>NA</v>
      </c>
      <c r="F112" s="268" t="str">
        <f>IFERROR(IF(ValbyACO_ICC1[[#This Row],[2021 Member Months]]=0,"NA",SUMIFS(ACOAETME2021[[#All],[Claims: Hospital Outpatient]], ACOAETME2021[[#All],[Insurance Category Code]], $E$104, ACOAETME2021[[#All],[ACO/AE or Insurer Overall Organization ID]], ValbyACO_ICC1[[#This Row],[Org ID]])/ValbyACO_ICC1[[#This Row],[2021 Member Months]]), "NA")</f>
        <v>NA</v>
      </c>
      <c r="G112" s="268" t="str">
        <f>IFERROR(IF(ValbyACO_ICC1[[#This Row],[2021 Member Months]]=0,"NA",SUMIFS(ACOAETME2021[[#All],[Claims: Professional, Primary Care]], ACOAETME2021[[#All],[Insurance Category Code]], $E$104, ACOAETME2021[[#All],[ACO/AE or Insurer Overall Organization ID]], ValbyACO_ICC1[[#This Row],[Org ID]])/ValbyACO_ICC1[[#This Row],[2021 Member Months]]), "NA")</f>
        <v>NA</v>
      </c>
      <c r="H112" s="268" t="str">
        <f>IFERROR(IF(ValbyACO_ICC1[[#This Row],[2021 Member Months]]=0,"NA",SUMIFS(ACOAETME2021[[#All],[Claims: Professional, Specialty Care]], ACOAETME2021[[#All],[Insurance Category Code]], $E$104, ACOAETME2021[[#All],[ACO/AE or Insurer Overall Organization ID]], ValbyACO_ICC1[[#This Row],[Org ID]])/ValbyACO_ICC1[[#This Row],[2021 Member Months]]), "NA")</f>
        <v>NA</v>
      </c>
      <c r="I112" s="268" t="str">
        <f>IFERROR(IF(ValbyACO_ICC1[[#This Row],[2021 Member Months]]=0,"NA",SUMIFS(ACOAETME2021[[#All],[Claims: Professional Other]], ACOAETME2021[[#All],[Insurance Category Code]], $E$104, ACOAETME2021[[#All],[ACO/AE or Insurer Overall Organization ID]], ValbyACO_ICC1[[#This Row],[Org ID]])/ValbyACO_ICC1[[#This Row],[2021 Member Months]]), "NA")</f>
        <v>NA</v>
      </c>
      <c r="J112" s="268" t="str">
        <f>IFERROR(IF(ValbyACO_ICC1[[#This Row],[2021 Member Months]]=0,"NA",SUMIFS(ACOAETME2021[[#All],[Claims: Pharmacy]], ACOAETME2021[[#All],[Insurance Category Code]], $E$104, ACOAETME2021[[#All],[ACO/AE or Insurer Overall Organization ID]], ValbyACO_ICC1[[#This Row],[Org ID]])/ValbyACO_ICC1[[#This Row],[2021 Member Months]]), "NA")</f>
        <v>NA</v>
      </c>
      <c r="K112" s="268" t="str">
        <f>IFERROR(IF(ValbyACO_ICC1[[#This Row],[2021 Member Months]]=0,"NA",SUMIFS(ACOAETME2021[[#All],[Claims: Long-Term Care]], ACOAETME2021[[#All],[Insurance Category Code]], $E$104, ACOAETME2021[[#All],[ACO/AE or Insurer Overall Organization ID]], ValbyACO_ICC1[[#This Row],[Org ID]])/ValbyACO_ICC1[[#This Row],[2021 Member Months]]), "NA")</f>
        <v>NA</v>
      </c>
      <c r="L112" s="268" t="str">
        <f>IFERROR(IF(ValbyACO_ICC1[[#This Row],[2021 Member Months]]=0,"NA",SUMIFS(ACOAETME2021[[#All],[Claims: Other]], ACOAETME2021[[#All],[Insurance Category Code]], $E$104, ACOAETME2021[[#All],[ACO/AE or Insurer Overall Organization ID]], ValbyACO_ICC1[[#This Row],[Org ID]])/ValbyACO_ICC1[[#This Row],[2021 Member Months]]), "NA")</f>
        <v>NA</v>
      </c>
      <c r="M112" s="118" t="str">
        <f>IF(ValbyACO_ICC1[[#This Row],[2021 Member Months]]=0,"NA",SUMIFS(ACOAETME2021[[#All],[TOTAL Non-Truncated Unadjusted Claims Expenses]], ACOAETME2021[[#All],[Insurance Category Code]], $E$104, ACOAETME2021[[#All],[ACO/AE or Insurer Overall Organization ID]], ValbyACO_ICC1[[#This Row],[Org ID]])/ValbyACO_ICC1[[#This Row],[2021 Member Months]])</f>
        <v>NA</v>
      </c>
      <c r="N112" s="118" t="str">
        <f>IF(ValbyACO_ICC1[[#This Row],[2021 Member Months]]=0,"NA",SUMIFS(ACOAETME2021[[#All],[TOTAL Truncated Unadjusted Claims Expenses (A19 - A17)]], ACOAETME2021[[#All],[Insurance Category Code]], $E$104, ACOAETME2021[[#All],[ACO/AE or Insurer Overall Organization ID]], ValbyACO_ICC1[[#This Row],[Org ID]])/ValbyACO_ICC1[[#This Row],[2021 Member Months]])</f>
        <v>NA</v>
      </c>
      <c r="O112" s="118" t="str">
        <f>IF(ValbyACO_ICC1[[#This Row],[2021 Member Months]]=0,"NA",SUMIFS(ACOAETME2021[[#All],[TOTAL Non-Claims Expenses]], ACOAETME2021[[#All],[Insurance Category Code]], $E$104, ACOAETME2021[[#All],[ACO/AE or Insurer Overall Organization ID]], ValbyACO_ICC1[[#This Row],[Org ID]])/ValbyACO_ICC1[[#This Row],[2021 Member Months]])</f>
        <v>NA</v>
      </c>
      <c r="P112" s="268" t="str">
        <f>IF(ValbyACO_ICC1[[#This Row],[2021 Member Months]]=0, "NA", SUMIFS(ACOAETME2021[[#All],[TOTAL Non-Truncated Unadjusted Expenses 
(A19+A21)]], ACOAETME2021[[#All],[Insurance Category Code]], $E$104, ACOAETME2021[[#All],[ACO/AE or Insurer Overall Organization ID]], ValbyACO_ICC1[[#This Row],[Org ID]])/ValbyACO_ICC1[[#This Row],[2021 Member Months]])</f>
        <v>NA</v>
      </c>
      <c r="Q112" s="119" t="str">
        <f>IF(ValbyACO_ICC1[[#This Row],[2021 Member Months]]=0, "NA", SUMIFS(ACOAETME2021[[#All],[TOTAL Truncated Unadjusted Expenses (A20+A21)]], ACOAETME2021[[#All],[Insurance Category Code]], $E$104, ACOAETME2021[[#All],[ACO/AE or Insurer Overall Organization ID]], ValbyACO_ICC1[[#This Row],[Org ID]])/ValbyACO_ICC1[[#This Row],[2021 Member Months]])</f>
        <v>NA</v>
      </c>
      <c r="R112" s="272">
        <f>SUMIFS(ACOAETME2022[[#All],[Member Months]],ACOAETME2022[[#All],[Insurance Category Code]], $E$104,ACOAETME2022[[#All],[ACO/AE or Insurer Overall Organization ID]],ValbyACO_ICC1[[#This Row],[Org ID]])</f>
        <v>0</v>
      </c>
      <c r="S112" s="118" t="str">
        <f>IF(ValbyACO_ICC1[[#This Row],[2022 Member Months]]=0,"NA",SUMIFS(ACOAETME2022[[#All],[Claims: Hospital Inpatient]],ACOAETME2022[[#All],[Insurance Category Code]], $E$104,ACOAETME2022[[#All],[ACO/AE or Insurer Overall Organization ID]],ValbyACO_ICC1[[#This Row],[Org ID]])/ValbyACO_ICC1[[#This Row],[2022 Member Months]])</f>
        <v>NA</v>
      </c>
      <c r="T112" s="118" t="str">
        <f>IF(ValbyACO_ICC1[[#This Row],[2022 Member Months]]=0,"NA",SUMIFS(ACOAETME2022[[#All],[Claims: Hospital Outpatient]],ACOAETME2022[[#All],[Insurance Category Code]], $E$104,ACOAETME2022[[#All],[ACO/AE or Insurer Overall Organization ID]],ValbyACO_ICC1[[#This Row],[Org ID]])/ValbyACO_ICC1[[#This Row],[2022 Member Months]])</f>
        <v>NA</v>
      </c>
      <c r="U112" s="118" t="str">
        <f>IF(ValbyACO_ICC1[[#This Row],[2022 Member Months]]=0,"NA",SUMIFS(ACOAETME2022[[#All],[Claims: Professional, Primary Care]],ACOAETME2022[[#All],[Insurance Category Code]], $E$104,ACOAETME2022[[#All],[ACO/AE or Insurer Overall Organization ID]],ValbyACO_ICC1[[#This Row],[Org ID]])/ValbyACO_ICC1[[#This Row],[2022 Member Months]])</f>
        <v>NA</v>
      </c>
      <c r="V112" s="118" t="str">
        <f>IF(ValbyACO_ICC1[[#This Row],[2022 Member Months]]=0,"NA",SUMIFS(ACOAETME2022[[#All],[Claims: Professional, Specialty Care]],ACOAETME2022[[#All],[Insurance Category Code]], $E$104,ACOAETME2022[[#All],[ACO/AE or Insurer Overall Organization ID]],ValbyACO_ICC1[[#This Row],[Org ID]])/ValbyACO_ICC1[[#This Row],[2022 Member Months]])</f>
        <v>NA</v>
      </c>
      <c r="W112" s="118" t="str">
        <f>IF(ValbyACO_ICC1[[#This Row],[2022 Member Months]]=0,"NA",SUMIFS(ACOAETME2022[[#All],[Claims: Professional Other]],ACOAETME2022[[#All],[Insurance Category Code]], $E$104,ACOAETME2022[[#All],[ACO/AE or Insurer Overall Organization ID]],ValbyACO_ICC1[[#This Row],[Org ID]])/ValbyACO_ICC1[[#This Row],[2022 Member Months]])</f>
        <v>NA</v>
      </c>
      <c r="X112" s="118" t="str">
        <f>IF(ValbyACO_ICC1[[#This Row],[2022 Member Months]]=0,"NA",SUMIFS(ACOAETME2022[[#All],[Claims: Pharmacy]],ACOAETME2022[[#All],[Insurance Category Code]], $E$104,ACOAETME2022[[#All],[ACO/AE or Insurer Overall Organization ID]],ValbyACO_ICC1[[#This Row],[Org ID]])/ValbyACO_ICC1[[#This Row],[2022 Member Months]])</f>
        <v>NA</v>
      </c>
      <c r="Y112" s="118" t="str">
        <f>IF(ValbyACO_ICC1[[#This Row],[2022 Member Months]]=0,"NA",SUMIFS(ACOAETME2022[[#All],[Claims: Long-Term Care]],ACOAETME2022[[#All],[Insurance Category Code]], $E$104,ACOAETME2022[[#All],[ACO/AE or Insurer Overall Organization ID]],ValbyACO_ICC1[[#This Row],[Org ID]])/ValbyACO_ICC1[[#This Row],[2022 Member Months]])</f>
        <v>NA</v>
      </c>
      <c r="Z112" s="118" t="str">
        <f>IF(ValbyACO_ICC1[[#This Row],[2022 Member Months]]=0,"NA",SUMIFS(ACOAETME2022[[#All],[Claims: Other]],ACOAETME2022[[#All],[Insurance Category Code]], $E$104,ACOAETME2022[[#All],[ACO/AE or Insurer Overall Organization ID]],ValbyACO_ICC1[[#This Row],[Org ID]])/ValbyACO_ICC1[[#This Row],[2022 Member Months]])</f>
        <v>NA</v>
      </c>
      <c r="AA112" s="118" t="str">
        <f>IF(ValbyACO_ICC1[[#This Row],[2022 Member Months]]=0,"NA",SUMIFS(ACOAETME2022[[#All],[TOTAL Non-Truncated Unadjusted Claims Expenses]],ACOAETME2022[[#All],[Insurance Category Code]], $E$104,ACOAETME2022[[#All],[ACO/AE or Insurer Overall Organization ID]],ValbyACO_ICC1[[#This Row],[Org ID]])/ValbyACO_ICC1[[#This Row],[2022 Member Months]])</f>
        <v>NA</v>
      </c>
      <c r="AB112" s="118" t="str">
        <f>IF(ValbyACO_ICC1[[#This Row],[2022 Member Months]]=0,"NA",SUMIFS(ACOAETME2022[[#All],[TOTAL Truncated Unadjusted Expenses (A20+A21)]],ACOAETME2022[[#All],[Insurance Category Code]], $E$104,ACOAETME2022[[#All],[ACO/AE or Insurer Overall Organization ID]],ValbyACO_ICC1[[#This Row],[Org ID]])/ValbyACO_ICC1[[#This Row],[2022 Member Months]])</f>
        <v>NA</v>
      </c>
      <c r="AC112" s="118" t="str">
        <f>IF(ValbyACO_ICC1[[#This Row],[2022 Member Months]]=0,"NA",SUMIFS(ACOAETME2022[[#All],[TOTAL Non-Claims Expenses]],ACOAETME2022[[#All],[Insurance Category Code]], $E$104,ACOAETME2022[[#All],[ACO/AE or Insurer Overall Organization ID]],ValbyACO_ICC1[[#This Row],[Org ID]])/ValbyACO_ICC1[[#This Row],[2022 Member Months]])</f>
        <v>NA</v>
      </c>
      <c r="AD112" s="268" t="str">
        <f>IF(ValbyACO_ICC1[[#This Row],[2022 Member Months]]=0,"NA",SUMIFS(ACOAETME2022[[#All],[TOTAL Non-Truncated Unadjusted Expenses 
(A19+A21)]],ACOAETME2022[[#All],[Insurance Category Code]], $E$104,ACOAETME2022[[#All],[ACO/AE or Insurer Overall Organization ID]],ValbyACO_ICC1[[#This Row],[Org ID]])/ValbyACO_ICC1[[#This Row],[2022 Member Months]])</f>
        <v>NA</v>
      </c>
      <c r="AE112" s="119" t="str">
        <f>IF(ValbyACO_ICC1[[#This Row],[2022 Member Months]]=0,"NA",SUMIFS(ACOAETME2022[[#All],[TOTAL Truncated Unadjusted Expenses (A20+A21)]],ACOAETME2022[[#All],[Insurance Category Code]],$E$104,ACOAETME2022[[#All],[ACO/AE or Insurer Overall Organization ID]],ValbyACO_ICC1[[#This Row],[Org ID]])/ValbyACO_ICC1[[#This Row],[2022 Member Months]])</f>
        <v>NA</v>
      </c>
      <c r="AF112" s="161" t="str">
        <f>IFERROR(IF(ValbyACO_ICC1[[#This Row],[2021 Member Months]]=0,"NA",ValbyACO_ICC1[[#This Row],[2022 Member Months]]/ValbyACO_ICC1[[#This Row],[2021 Member Months]]-1),"NA")</f>
        <v>NA</v>
      </c>
      <c r="AG112" s="161" t="str">
        <f>IFERROR(IF(ValbyACO_ICC1[[#This Row],[2021 Member Months]]=0,"NA",ValbyACO_ICC1[[#This Row],[2022 Claims: Hospital Inpatient]]/ValbyACO_ICC1[[#This Row],[2021 Claims: Hospital Inpatient]]-1),"NA")</f>
        <v>NA</v>
      </c>
      <c r="AH112" s="162" t="str">
        <f>IFERROR(IF(ValbyACO_ICC1[[#This Row],[2021 Member Months]]=0,"NA",ValbyACO_ICC1[[#This Row],[2022 Claims: Hospital Outpatient]]/ValbyACO_ICC1[[#This Row],[2021 Claims: Hospital Outpatient]]-1),"NA")</f>
        <v>NA</v>
      </c>
      <c r="AI112" s="162" t="str">
        <f>IFERROR(IF(ValbyACO_ICC1[[#This Row],[2021 Member Months]]=0,"NA",ValbyACO_ICC1[[#This Row],[2022 Claims: Professional, Primary Care]]/ValbyACO_ICC1[[#This Row],[2021 Claims: Professional, Primary Care]]-1),"NA")</f>
        <v>NA</v>
      </c>
      <c r="AJ112" s="162" t="str">
        <f>IFERROR(IF(ValbyACO_ICC1[[#This Row],[2021 Member Months]]=0,"NA",ValbyACO_ICC1[[#This Row],[2022 Claims: Professional, Specialty Care]]/ValbyACO_ICC1[[#This Row],[2021 Claims: Professional, Specialty Care]]-1),"NA")</f>
        <v>NA</v>
      </c>
      <c r="AK112" s="162" t="str">
        <f>IFERROR(IF(ValbyACO_ICC1[[#This Row],[2021 Member Months]]=0,"NA", ValbyACO_ICC1[[#This Row],[2022 Claims: Professional Other]]/ValbyACO_ICC1[[#This Row],[2021 Claims: Professional Other]]-1),"NA")</f>
        <v>NA</v>
      </c>
      <c r="AL112" s="162" t="str">
        <f>IFERROR(IF(ValbyACO_ICC1[[#This Row],[2021 Member Months]]=0,"NA",ValbyACO_ICC1[[#This Row],[2022 Claims: Pharmacy (Gross of Retail Pharmacy Rebates)]]/ValbyACO_ICC1[[#This Row],[2021 Claims: Pharmacy (Gross of  Rebates)]]-1),"NA")</f>
        <v>NA</v>
      </c>
      <c r="AM112" s="162" t="str">
        <f>IFERROR(IF(ValbyACO_ICC1[[#This Row],[2021 Member Months]]=0,"NA",ValbyACO_ICC1[[#This Row],[2022 Claims: Long-term Care]]/ValbyACO_ICC1[[#This Row],[2021 Claims: Long-term Care]]-1),"NA")</f>
        <v>NA</v>
      </c>
      <c r="AN112" s="162" t="str">
        <f>IFERROR(IF(ValbyACO_ICC1[[#This Row],[2021 Member Months]]=0,"NA",ValbyACO_ICC1[[#This Row],[2022 Claims: Other]]/ValbyACO_ICC1[[#This Row],[2021 Claims: Other]]-1),"NA")</f>
        <v>NA</v>
      </c>
      <c r="AO112" s="163" t="str">
        <f>IFERROR(IF(ValbyACO_ICC1[[#This Row],[2021 Member Months]]=0,"NA",ValbyACO_ICC1[[#This Row],[2022 TOTAL Non-Truncated Claims Expenses]]/ValbyACO_ICC1[[#This Row],[2021 TOTAL Non-Truncated Claims Expenses]]-1),"NA")</f>
        <v>NA</v>
      </c>
      <c r="AP112" s="163" t="str">
        <f>IFERROR(IF(ValbyACO_ICC1[[#This Row],[2021 Member Months]]=0,"NA",ValbyACO_ICC1[[#This Row],[2022 TOTAL Truncated Claims Expenses]]/ValbyACO_ICC1[[#This Row],[2021 TOTAL Truncated Claims Expenses]]-1),"NA")</f>
        <v>NA</v>
      </c>
      <c r="AQ112" s="163" t="str">
        <f>IFERROR(IF(ValbyACO_ICC1[[#This Row],[2021 Member Months]]=0,"NA",ValbyACO_ICC1[[#This Row],[2022 TOTAL Non-Claims Expenses]]/ValbyACO_ICC1[[#This Row],[2021 TOTAL Non-Claims Expenses]]-1),"NA")</f>
        <v>NA</v>
      </c>
      <c r="AR112" s="163" t="str">
        <f>IFERROR(IF(ValbyACO_ICC1[[#This Row],[2021 Member Months]]=0,"NA",ValbyACO_ICC1[[#This Row],[2022 TOTAL Non-Truncated Total Expenses]]/ValbyACO_ICC1[[#This Row],[2021 TOTAL Non-Truncated Total Expenses]]-1),"NA")</f>
        <v>NA</v>
      </c>
      <c r="AS112" s="163" t="str">
        <f>IFERROR(IF(ValbyACO_ICC1[[#This Row],[2021 Member Months]]=0,"NA",ValbyACO_ICC1[[#This Row],[2022 TOTAL Truncated Total Expenses]]/ValbyACO_ICC1[[#This Row],[2021 TOTAL Truncated Total Expenses]]-1),"NA")</f>
        <v>NA</v>
      </c>
    </row>
    <row r="113" spans="1:45" x14ac:dyDescent="0.35">
      <c r="A113" s="129"/>
      <c r="B113" s="250">
        <v>108</v>
      </c>
      <c r="C113" s="291" t="s">
        <v>508</v>
      </c>
      <c r="D113" s="272">
        <f>SUMIFS(ACOAETME2021[[#All],[Member Months]], ACOAETME2021[[#All],[Insurance Category Code]], $E$104, ACOAETME2021[[#All],[ACO/AE or Insurer Overall Organization ID]], ValbyACO_ICC1[[#This Row],[Org ID]])</f>
        <v>0</v>
      </c>
      <c r="E113" s="268" t="str">
        <f>IFERROR(IF(ValbyACO_ICC1[[#This Row],[2021 Member Months]]=0,"NA",SUMIFS(ACOAETME2021[[#All],[Claims: Hospital Inpatient]], ACOAETME2021[[#All],[Insurance Category Code]], $E$104, ACOAETME2021[[#All],[ACO/AE or Insurer Overall Organization ID]], ValbyACO_ICC1[[#This Row],[Org ID]])/ValbyACO_ICC1[[#This Row],[2021 Member Months]]), "NA")</f>
        <v>NA</v>
      </c>
      <c r="F113" s="268" t="str">
        <f>IFERROR(IF(ValbyACO_ICC1[[#This Row],[2021 Member Months]]=0,"NA",SUMIFS(ACOAETME2021[[#All],[Claims: Hospital Outpatient]], ACOAETME2021[[#All],[Insurance Category Code]], $E$104, ACOAETME2021[[#All],[ACO/AE or Insurer Overall Organization ID]], ValbyACO_ICC1[[#This Row],[Org ID]])/ValbyACO_ICC1[[#This Row],[2021 Member Months]]), "NA")</f>
        <v>NA</v>
      </c>
      <c r="G113" s="268" t="str">
        <f>IFERROR(IF(ValbyACO_ICC1[[#This Row],[2021 Member Months]]=0,"NA",SUMIFS(ACOAETME2021[[#All],[Claims: Professional, Primary Care]], ACOAETME2021[[#All],[Insurance Category Code]], $E$104, ACOAETME2021[[#All],[ACO/AE or Insurer Overall Organization ID]], ValbyACO_ICC1[[#This Row],[Org ID]])/ValbyACO_ICC1[[#This Row],[2021 Member Months]]), "NA")</f>
        <v>NA</v>
      </c>
      <c r="H113" s="268" t="str">
        <f>IFERROR(IF(ValbyACO_ICC1[[#This Row],[2021 Member Months]]=0,"NA",SUMIFS(ACOAETME2021[[#All],[Claims: Professional, Specialty Care]], ACOAETME2021[[#All],[Insurance Category Code]], $E$104, ACOAETME2021[[#All],[ACO/AE or Insurer Overall Organization ID]], ValbyACO_ICC1[[#This Row],[Org ID]])/ValbyACO_ICC1[[#This Row],[2021 Member Months]]), "NA")</f>
        <v>NA</v>
      </c>
      <c r="I113" s="268" t="str">
        <f>IFERROR(IF(ValbyACO_ICC1[[#This Row],[2021 Member Months]]=0,"NA",SUMIFS(ACOAETME2021[[#All],[Claims: Professional Other]], ACOAETME2021[[#All],[Insurance Category Code]], $E$104, ACOAETME2021[[#All],[ACO/AE or Insurer Overall Organization ID]], ValbyACO_ICC1[[#This Row],[Org ID]])/ValbyACO_ICC1[[#This Row],[2021 Member Months]]), "NA")</f>
        <v>NA</v>
      </c>
      <c r="J113" s="268" t="str">
        <f>IFERROR(IF(ValbyACO_ICC1[[#This Row],[2021 Member Months]]=0,"NA",SUMIFS(ACOAETME2021[[#All],[Claims: Pharmacy]], ACOAETME2021[[#All],[Insurance Category Code]], $E$104, ACOAETME2021[[#All],[ACO/AE or Insurer Overall Organization ID]], ValbyACO_ICC1[[#This Row],[Org ID]])/ValbyACO_ICC1[[#This Row],[2021 Member Months]]), "NA")</f>
        <v>NA</v>
      </c>
      <c r="K113" s="268" t="str">
        <f>IFERROR(IF(ValbyACO_ICC1[[#This Row],[2021 Member Months]]=0,"NA",SUMIFS(ACOAETME2021[[#All],[Claims: Long-Term Care]], ACOAETME2021[[#All],[Insurance Category Code]], $E$104, ACOAETME2021[[#All],[ACO/AE or Insurer Overall Organization ID]], ValbyACO_ICC1[[#This Row],[Org ID]])/ValbyACO_ICC1[[#This Row],[2021 Member Months]]), "NA")</f>
        <v>NA</v>
      </c>
      <c r="L113" s="268" t="str">
        <f>IFERROR(IF(ValbyACO_ICC1[[#This Row],[2021 Member Months]]=0,"NA",SUMIFS(ACOAETME2021[[#All],[Claims: Other]], ACOAETME2021[[#All],[Insurance Category Code]], $E$104, ACOAETME2021[[#All],[ACO/AE or Insurer Overall Organization ID]], ValbyACO_ICC1[[#This Row],[Org ID]])/ValbyACO_ICC1[[#This Row],[2021 Member Months]]), "NA")</f>
        <v>NA</v>
      </c>
      <c r="M113" s="118" t="str">
        <f>IF(ValbyACO_ICC1[[#This Row],[2021 Member Months]]=0,"NA",SUMIFS(ACOAETME2021[[#All],[TOTAL Non-Truncated Unadjusted Claims Expenses]], ACOAETME2021[[#All],[Insurance Category Code]], $E$104, ACOAETME2021[[#All],[ACO/AE or Insurer Overall Organization ID]], ValbyACO_ICC1[[#This Row],[Org ID]])/ValbyACO_ICC1[[#This Row],[2021 Member Months]])</f>
        <v>NA</v>
      </c>
      <c r="N113" s="118" t="str">
        <f>IF(ValbyACO_ICC1[[#This Row],[2021 Member Months]]=0,"NA",SUMIFS(ACOAETME2021[[#All],[TOTAL Truncated Unadjusted Claims Expenses (A19 - A17)]], ACOAETME2021[[#All],[Insurance Category Code]], $E$104, ACOAETME2021[[#All],[ACO/AE or Insurer Overall Organization ID]], ValbyACO_ICC1[[#This Row],[Org ID]])/ValbyACO_ICC1[[#This Row],[2021 Member Months]])</f>
        <v>NA</v>
      </c>
      <c r="O113" s="118" t="str">
        <f>IF(ValbyACO_ICC1[[#This Row],[2021 Member Months]]=0,"NA",SUMIFS(ACOAETME2021[[#All],[TOTAL Non-Claims Expenses]], ACOAETME2021[[#All],[Insurance Category Code]], $E$104, ACOAETME2021[[#All],[ACO/AE or Insurer Overall Organization ID]], ValbyACO_ICC1[[#This Row],[Org ID]])/ValbyACO_ICC1[[#This Row],[2021 Member Months]])</f>
        <v>NA</v>
      </c>
      <c r="P113" s="268" t="str">
        <f>IF(ValbyACO_ICC1[[#This Row],[2021 Member Months]]=0, "NA", SUMIFS(ACOAETME2021[[#All],[TOTAL Non-Truncated Unadjusted Expenses 
(A19+A21)]], ACOAETME2021[[#All],[Insurance Category Code]], $E$104, ACOAETME2021[[#All],[ACO/AE or Insurer Overall Organization ID]], ValbyACO_ICC1[[#This Row],[Org ID]])/ValbyACO_ICC1[[#This Row],[2021 Member Months]])</f>
        <v>NA</v>
      </c>
      <c r="Q113" s="119" t="str">
        <f>IF(ValbyACO_ICC1[[#This Row],[2021 Member Months]]=0, "NA", SUMIFS(ACOAETME2021[[#All],[TOTAL Truncated Unadjusted Expenses (A20+A21)]], ACOAETME2021[[#All],[Insurance Category Code]], $E$104, ACOAETME2021[[#All],[ACO/AE or Insurer Overall Organization ID]], ValbyACO_ICC1[[#This Row],[Org ID]])/ValbyACO_ICC1[[#This Row],[2021 Member Months]])</f>
        <v>NA</v>
      </c>
      <c r="R113" s="272">
        <f>SUMIFS(ACOAETME2022[[#All],[Member Months]],ACOAETME2022[[#All],[Insurance Category Code]], $E$104,ACOAETME2022[[#All],[ACO/AE or Insurer Overall Organization ID]],ValbyACO_ICC1[[#This Row],[Org ID]])</f>
        <v>0</v>
      </c>
      <c r="S113" s="118" t="str">
        <f>IF(ValbyACO_ICC1[[#This Row],[2022 Member Months]]=0,"NA",SUMIFS(ACOAETME2022[[#All],[Claims: Hospital Inpatient]],ACOAETME2022[[#All],[Insurance Category Code]], $E$104,ACOAETME2022[[#All],[ACO/AE or Insurer Overall Organization ID]],ValbyACO_ICC1[[#This Row],[Org ID]])/ValbyACO_ICC1[[#This Row],[2022 Member Months]])</f>
        <v>NA</v>
      </c>
      <c r="T113" s="118" t="str">
        <f>IF(ValbyACO_ICC1[[#This Row],[2022 Member Months]]=0,"NA",SUMIFS(ACOAETME2022[[#All],[Claims: Hospital Outpatient]],ACOAETME2022[[#All],[Insurance Category Code]], $E$104,ACOAETME2022[[#All],[ACO/AE or Insurer Overall Organization ID]],ValbyACO_ICC1[[#This Row],[Org ID]])/ValbyACO_ICC1[[#This Row],[2022 Member Months]])</f>
        <v>NA</v>
      </c>
      <c r="U113" s="118" t="str">
        <f>IF(ValbyACO_ICC1[[#This Row],[2022 Member Months]]=0,"NA",SUMIFS(ACOAETME2022[[#All],[Claims: Professional, Primary Care]],ACOAETME2022[[#All],[Insurance Category Code]], $E$104,ACOAETME2022[[#All],[ACO/AE or Insurer Overall Organization ID]],ValbyACO_ICC1[[#This Row],[Org ID]])/ValbyACO_ICC1[[#This Row],[2022 Member Months]])</f>
        <v>NA</v>
      </c>
      <c r="V113" s="118" t="str">
        <f>IF(ValbyACO_ICC1[[#This Row],[2022 Member Months]]=0,"NA",SUMIFS(ACOAETME2022[[#All],[Claims: Professional, Specialty Care]],ACOAETME2022[[#All],[Insurance Category Code]], $E$104,ACOAETME2022[[#All],[ACO/AE or Insurer Overall Organization ID]],ValbyACO_ICC1[[#This Row],[Org ID]])/ValbyACO_ICC1[[#This Row],[2022 Member Months]])</f>
        <v>NA</v>
      </c>
      <c r="W113" s="118" t="str">
        <f>IF(ValbyACO_ICC1[[#This Row],[2022 Member Months]]=0,"NA",SUMIFS(ACOAETME2022[[#All],[Claims: Professional Other]],ACOAETME2022[[#All],[Insurance Category Code]], $E$104,ACOAETME2022[[#All],[ACO/AE or Insurer Overall Organization ID]],ValbyACO_ICC1[[#This Row],[Org ID]])/ValbyACO_ICC1[[#This Row],[2022 Member Months]])</f>
        <v>NA</v>
      </c>
      <c r="X113" s="118" t="str">
        <f>IF(ValbyACO_ICC1[[#This Row],[2022 Member Months]]=0,"NA",SUMIFS(ACOAETME2022[[#All],[Claims: Pharmacy]],ACOAETME2022[[#All],[Insurance Category Code]], $E$104,ACOAETME2022[[#All],[ACO/AE or Insurer Overall Organization ID]],ValbyACO_ICC1[[#This Row],[Org ID]])/ValbyACO_ICC1[[#This Row],[2022 Member Months]])</f>
        <v>NA</v>
      </c>
      <c r="Y113" s="118" t="str">
        <f>IF(ValbyACO_ICC1[[#This Row],[2022 Member Months]]=0,"NA",SUMIFS(ACOAETME2022[[#All],[Claims: Long-Term Care]],ACOAETME2022[[#All],[Insurance Category Code]], $E$104,ACOAETME2022[[#All],[ACO/AE or Insurer Overall Organization ID]],ValbyACO_ICC1[[#This Row],[Org ID]])/ValbyACO_ICC1[[#This Row],[2022 Member Months]])</f>
        <v>NA</v>
      </c>
      <c r="Z113" s="118" t="str">
        <f>IF(ValbyACO_ICC1[[#This Row],[2022 Member Months]]=0,"NA",SUMIFS(ACOAETME2022[[#All],[Claims: Other]],ACOAETME2022[[#All],[Insurance Category Code]], $E$104,ACOAETME2022[[#All],[ACO/AE or Insurer Overall Organization ID]],ValbyACO_ICC1[[#This Row],[Org ID]])/ValbyACO_ICC1[[#This Row],[2022 Member Months]])</f>
        <v>NA</v>
      </c>
      <c r="AA113" s="118" t="str">
        <f>IF(ValbyACO_ICC1[[#This Row],[2022 Member Months]]=0,"NA",SUMIFS(ACOAETME2022[[#All],[TOTAL Non-Truncated Unadjusted Claims Expenses]],ACOAETME2022[[#All],[Insurance Category Code]], $E$104,ACOAETME2022[[#All],[ACO/AE or Insurer Overall Organization ID]],ValbyACO_ICC1[[#This Row],[Org ID]])/ValbyACO_ICC1[[#This Row],[2022 Member Months]])</f>
        <v>NA</v>
      </c>
      <c r="AB113" s="118" t="str">
        <f>IF(ValbyACO_ICC1[[#This Row],[2022 Member Months]]=0,"NA",SUMIFS(ACOAETME2022[[#All],[TOTAL Truncated Unadjusted Expenses (A20+A21)]],ACOAETME2022[[#All],[Insurance Category Code]], $E$104,ACOAETME2022[[#All],[ACO/AE or Insurer Overall Organization ID]],ValbyACO_ICC1[[#This Row],[Org ID]])/ValbyACO_ICC1[[#This Row],[2022 Member Months]])</f>
        <v>NA</v>
      </c>
      <c r="AC113" s="118" t="str">
        <f>IF(ValbyACO_ICC1[[#This Row],[2022 Member Months]]=0,"NA",SUMIFS(ACOAETME2022[[#All],[TOTAL Non-Claims Expenses]],ACOAETME2022[[#All],[Insurance Category Code]], $E$104,ACOAETME2022[[#All],[ACO/AE or Insurer Overall Organization ID]],ValbyACO_ICC1[[#This Row],[Org ID]])/ValbyACO_ICC1[[#This Row],[2022 Member Months]])</f>
        <v>NA</v>
      </c>
      <c r="AD113" s="268" t="str">
        <f>IF(ValbyACO_ICC1[[#This Row],[2022 Member Months]]=0,"NA",SUMIFS(ACOAETME2022[[#All],[TOTAL Non-Truncated Unadjusted Expenses 
(A19+A21)]],ACOAETME2022[[#All],[Insurance Category Code]], $E$104,ACOAETME2022[[#All],[ACO/AE or Insurer Overall Organization ID]],ValbyACO_ICC1[[#This Row],[Org ID]])/ValbyACO_ICC1[[#This Row],[2022 Member Months]])</f>
        <v>NA</v>
      </c>
      <c r="AE113" s="119" t="str">
        <f>IF(ValbyACO_ICC1[[#This Row],[2022 Member Months]]=0,"NA",SUMIFS(ACOAETME2022[[#All],[TOTAL Truncated Unadjusted Expenses (A20+A21)]],ACOAETME2022[[#All],[Insurance Category Code]],$E$104,ACOAETME2022[[#All],[ACO/AE or Insurer Overall Organization ID]],ValbyACO_ICC1[[#This Row],[Org ID]])/ValbyACO_ICC1[[#This Row],[2022 Member Months]])</f>
        <v>NA</v>
      </c>
      <c r="AF113" s="161" t="str">
        <f>IFERROR(IF(ValbyACO_ICC1[[#This Row],[2021 Member Months]]=0,"NA",ValbyACO_ICC1[[#This Row],[2022 Member Months]]/ValbyACO_ICC1[[#This Row],[2021 Member Months]]-1),"NA")</f>
        <v>NA</v>
      </c>
      <c r="AG113" s="161" t="str">
        <f>IFERROR(IF(ValbyACO_ICC1[[#This Row],[2021 Member Months]]=0,"NA",ValbyACO_ICC1[[#This Row],[2022 Claims: Hospital Inpatient]]/ValbyACO_ICC1[[#This Row],[2021 Claims: Hospital Inpatient]]-1),"NA")</f>
        <v>NA</v>
      </c>
      <c r="AH113" s="162" t="str">
        <f>IFERROR(IF(ValbyACO_ICC1[[#This Row],[2021 Member Months]]=0,"NA",ValbyACO_ICC1[[#This Row],[2022 Claims: Hospital Outpatient]]/ValbyACO_ICC1[[#This Row],[2021 Claims: Hospital Outpatient]]-1),"NA")</f>
        <v>NA</v>
      </c>
      <c r="AI113" s="162" t="str">
        <f>IFERROR(IF(ValbyACO_ICC1[[#This Row],[2021 Member Months]]=0,"NA",ValbyACO_ICC1[[#This Row],[2022 Claims: Professional, Primary Care]]/ValbyACO_ICC1[[#This Row],[2021 Claims: Professional, Primary Care]]-1),"NA")</f>
        <v>NA</v>
      </c>
      <c r="AJ113" s="162" t="str">
        <f>IFERROR(IF(ValbyACO_ICC1[[#This Row],[2021 Member Months]]=0,"NA",ValbyACO_ICC1[[#This Row],[2022 Claims: Professional, Specialty Care]]/ValbyACO_ICC1[[#This Row],[2021 Claims: Professional, Specialty Care]]-1),"NA")</f>
        <v>NA</v>
      </c>
      <c r="AK113" s="162" t="str">
        <f>IFERROR(IF(ValbyACO_ICC1[[#This Row],[2021 Member Months]]=0,"NA", ValbyACO_ICC1[[#This Row],[2022 Claims: Professional Other]]/ValbyACO_ICC1[[#This Row],[2021 Claims: Professional Other]]-1),"NA")</f>
        <v>NA</v>
      </c>
      <c r="AL113" s="162" t="str">
        <f>IFERROR(IF(ValbyACO_ICC1[[#This Row],[2021 Member Months]]=0,"NA",ValbyACO_ICC1[[#This Row],[2022 Claims: Pharmacy (Gross of Retail Pharmacy Rebates)]]/ValbyACO_ICC1[[#This Row],[2021 Claims: Pharmacy (Gross of  Rebates)]]-1),"NA")</f>
        <v>NA</v>
      </c>
      <c r="AM113" s="162" t="str">
        <f>IFERROR(IF(ValbyACO_ICC1[[#This Row],[2021 Member Months]]=0,"NA",ValbyACO_ICC1[[#This Row],[2022 Claims: Long-term Care]]/ValbyACO_ICC1[[#This Row],[2021 Claims: Long-term Care]]-1),"NA")</f>
        <v>NA</v>
      </c>
      <c r="AN113" s="162" t="str">
        <f>IFERROR(IF(ValbyACO_ICC1[[#This Row],[2021 Member Months]]=0,"NA",ValbyACO_ICC1[[#This Row],[2022 Claims: Other]]/ValbyACO_ICC1[[#This Row],[2021 Claims: Other]]-1),"NA")</f>
        <v>NA</v>
      </c>
      <c r="AO113" s="163" t="str">
        <f>IFERROR(IF(ValbyACO_ICC1[[#This Row],[2021 Member Months]]=0,"NA",ValbyACO_ICC1[[#This Row],[2022 TOTAL Non-Truncated Claims Expenses]]/ValbyACO_ICC1[[#This Row],[2021 TOTAL Non-Truncated Claims Expenses]]-1),"NA")</f>
        <v>NA</v>
      </c>
      <c r="AP113" s="163" t="str">
        <f>IFERROR(IF(ValbyACO_ICC1[[#This Row],[2021 Member Months]]=0,"NA",ValbyACO_ICC1[[#This Row],[2022 TOTAL Truncated Claims Expenses]]/ValbyACO_ICC1[[#This Row],[2021 TOTAL Truncated Claims Expenses]]-1),"NA")</f>
        <v>NA</v>
      </c>
      <c r="AQ113" s="163" t="str">
        <f>IFERROR(IF(ValbyACO_ICC1[[#This Row],[2021 Member Months]]=0,"NA",ValbyACO_ICC1[[#This Row],[2022 TOTAL Non-Claims Expenses]]/ValbyACO_ICC1[[#This Row],[2021 TOTAL Non-Claims Expenses]]-1),"NA")</f>
        <v>NA</v>
      </c>
      <c r="AR113" s="163" t="str">
        <f>IFERROR(IF(ValbyACO_ICC1[[#This Row],[2021 Member Months]]=0,"NA",ValbyACO_ICC1[[#This Row],[2022 TOTAL Non-Truncated Total Expenses]]/ValbyACO_ICC1[[#This Row],[2021 TOTAL Non-Truncated Total Expenses]]-1),"NA")</f>
        <v>NA</v>
      </c>
      <c r="AS113" s="163" t="str">
        <f>IFERROR(IF(ValbyACO_ICC1[[#This Row],[2021 Member Months]]=0,"NA",ValbyACO_ICC1[[#This Row],[2022 TOTAL Truncated Total Expenses]]/ValbyACO_ICC1[[#This Row],[2021 TOTAL Truncated Total Expenses]]-1),"NA")</f>
        <v>NA</v>
      </c>
    </row>
    <row r="114" spans="1:45" x14ac:dyDescent="0.35">
      <c r="A114" s="129"/>
      <c r="B114" s="250">
        <v>999</v>
      </c>
      <c r="C114" s="291" t="s">
        <v>172</v>
      </c>
      <c r="D114" s="272">
        <f>SUMIFS(ACOAETME2021[[#All],[Member Months]], ACOAETME2021[[#All],[Insurance Category Code]], $E$104, ACOAETME2021[[#All],[ACO/AE or Insurer Overall Organization ID]], ValbyACO_ICC1[[#This Row],[Org ID]])</f>
        <v>0</v>
      </c>
      <c r="E114" s="268" t="str">
        <f>IFERROR(IF(ValbyACO_ICC1[[#This Row],[2021 Member Months]]=0,"NA",SUMIFS(ACOAETME2021[[#All],[Claims: Hospital Inpatient]], ACOAETME2021[[#All],[Insurance Category Code]], $E$104, ACOAETME2021[[#All],[ACO/AE or Insurer Overall Organization ID]], ValbyACO_ICC1[[#This Row],[Org ID]])/ValbyACO_ICC1[[#This Row],[2021 Member Months]]), "NA")</f>
        <v>NA</v>
      </c>
      <c r="F114" s="268" t="str">
        <f>IFERROR(IF(ValbyACO_ICC1[[#This Row],[2021 Member Months]]=0,"NA",SUMIFS(ACOAETME2021[[#All],[Claims: Hospital Outpatient]], ACOAETME2021[[#All],[Insurance Category Code]], $E$104, ACOAETME2021[[#All],[ACO/AE or Insurer Overall Organization ID]], ValbyACO_ICC1[[#This Row],[Org ID]])/ValbyACO_ICC1[[#This Row],[2021 Member Months]]), "NA")</f>
        <v>NA</v>
      </c>
      <c r="G114" s="268" t="str">
        <f>IFERROR(IF(ValbyACO_ICC1[[#This Row],[2021 Member Months]]=0,"NA",SUMIFS(ACOAETME2021[[#All],[Claims: Professional, Primary Care]], ACOAETME2021[[#All],[Insurance Category Code]], $E$104, ACOAETME2021[[#All],[ACO/AE or Insurer Overall Organization ID]], ValbyACO_ICC1[[#This Row],[Org ID]])/ValbyACO_ICC1[[#This Row],[2021 Member Months]]), "NA")</f>
        <v>NA</v>
      </c>
      <c r="H114" s="268" t="str">
        <f>IFERROR(IF(ValbyACO_ICC1[[#This Row],[2021 Member Months]]=0,"NA",SUMIFS(ACOAETME2021[[#All],[Claims: Professional, Specialty Care]], ACOAETME2021[[#All],[Insurance Category Code]], $E$104, ACOAETME2021[[#All],[ACO/AE or Insurer Overall Organization ID]], ValbyACO_ICC1[[#This Row],[Org ID]])/ValbyACO_ICC1[[#This Row],[2021 Member Months]]), "NA")</f>
        <v>NA</v>
      </c>
      <c r="I114" s="268" t="str">
        <f>IFERROR(IF(ValbyACO_ICC1[[#This Row],[2021 Member Months]]=0,"NA",SUMIFS(ACOAETME2021[[#All],[Claims: Professional Other]], ACOAETME2021[[#All],[Insurance Category Code]], $E$104, ACOAETME2021[[#All],[ACO/AE or Insurer Overall Organization ID]], ValbyACO_ICC1[[#This Row],[Org ID]])/ValbyACO_ICC1[[#This Row],[2021 Member Months]]), "NA")</f>
        <v>NA</v>
      </c>
      <c r="J114" s="268" t="str">
        <f>IFERROR(IF(ValbyACO_ICC1[[#This Row],[2021 Member Months]]=0,"NA",SUMIFS(ACOAETME2021[[#All],[Claims: Pharmacy]], ACOAETME2021[[#All],[Insurance Category Code]], $E$104, ACOAETME2021[[#All],[ACO/AE or Insurer Overall Organization ID]], ValbyACO_ICC1[[#This Row],[Org ID]])/ValbyACO_ICC1[[#This Row],[2021 Member Months]]), "NA")</f>
        <v>NA</v>
      </c>
      <c r="K114" s="268" t="str">
        <f>IFERROR(IF(ValbyACO_ICC1[[#This Row],[2021 Member Months]]=0,"NA",SUMIFS(ACOAETME2021[[#All],[Claims: Long-Term Care]], ACOAETME2021[[#All],[Insurance Category Code]], $E$104, ACOAETME2021[[#All],[ACO/AE or Insurer Overall Organization ID]], ValbyACO_ICC1[[#This Row],[Org ID]])/ValbyACO_ICC1[[#This Row],[2021 Member Months]]), "NA")</f>
        <v>NA</v>
      </c>
      <c r="L114" s="268" t="str">
        <f>IFERROR(IF(ValbyACO_ICC1[[#This Row],[2021 Member Months]]=0,"NA",SUMIFS(ACOAETME2021[[#All],[Claims: Other]], ACOAETME2021[[#All],[Insurance Category Code]], $E$104, ACOAETME2021[[#All],[ACO/AE or Insurer Overall Organization ID]], ValbyACO_ICC1[[#This Row],[Org ID]])/ValbyACO_ICC1[[#This Row],[2021 Member Months]]), "NA")</f>
        <v>NA</v>
      </c>
      <c r="M114" s="118" t="str">
        <f>IF(ValbyACO_ICC1[[#This Row],[2021 Member Months]]=0,"NA",SUMIFS(ACOAETME2021[[#All],[TOTAL Non-Truncated Unadjusted Claims Expenses]], ACOAETME2021[[#All],[Insurance Category Code]], $E$104, ACOAETME2021[[#All],[ACO/AE or Insurer Overall Organization ID]], ValbyACO_ICC1[[#This Row],[Org ID]])/ValbyACO_ICC1[[#This Row],[2021 Member Months]])</f>
        <v>NA</v>
      </c>
      <c r="N114" s="118" t="str">
        <f>IF(ValbyACO_ICC1[[#This Row],[2021 Member Months]]=0,"NA",SUMIFS(ACOAETME2021[[#All],[TOTAL Truncated Unadjusted Claims Expenses (A19 - A17)]], ACOAETME2021[[#All],[Insurance Category Code]], $E$104, ACOAETME2021[[#All],[ACO/AE or Insurer Overall Organization ID]], ValbyACO_ICC1[[#This Row],[Org ID]])/ValbyACO_ICC1[[#This Row],[2021 Member Months]])</f>
        <v>NA</v>
      </c>
      <c r="O114" s="118" t="str">
        <f>IF(ValbyACO_ICC1[[#This Row],[2021 Member Months]]=0,"NA",SUMIFS(ACOAETME2021[[#All],[TOTAL Non-Claims Expenses]], ACOAETME2021[[#All],[Insurance Category Code]], $E$104, ACOAETME2021[[#All],[ACO/AE or Insurer Overall Organization ID]], ValbyACO_ICC1[[#This Row],[Org ID]])/ValbyACO_ICC1[[#This Row],[2021 Member Months]])</f>
        <v>NA</v>
      </c>
      <c r="P114" s="268" t="str">
        <f>IF(ValbyACO_ICC1[[#This Row],[2021 Member Months]]=0, "NA", SUMIFS(ACOAETME2021[[#All],[TOTAL Non-Truncated Unadjusted Expenses 
(A19+A21)]], ACOAETME2021[[#All],[Insurance Category Code]], $E$104, ACOAETME2021[[#All],[ACO/AE or Insurer Overall Organization ID]], ValbyACO_ICC1[[#This Row],[Org ID]])/ValbyACO_ICC1[[#This Row],[2021 Member Months]])</f>
        <v>NA</v>
      </c>
      <c r="Q114" s="119" t="str">
        <f>IF(ValbyACO_ICC1[[#This Row],[2021 Member Months]]=0, "NA", SUMIFS(ACOAETME2021[[#All],[TOTAL Truncated Unadjusted Expenses (A20+A21)]], ACOAETME2021[[#All],[Insurance Category Code]], $E$104, ACOAETME2021[[#All],[ACO/AE or Insurer Overall Organization ID]], ValbyACO_ICC1[[#This Row],[Org ID]])/ValbyACO_ICC1[[#This Row],[2021 Member Months]])</f>
        <v>NA</v>
      </c>
      <c r="R114" s="272">
        <f>SUMIFS(ACOAETME2022[[#All],[Member Months]],ACOAETME2022[[#All],[Insurance Category Code]], $E$104,ACOAETME2022[[#All],[ACO/AE or Insurer Overall Organization ID]],ValbyACO_ICC1[[#This Row],[Org ID]])</f>
        <v>0</v>
      </c>
      <c r="S114" s="118" t="str">
        <f>IF(ValbyACO_ICC1[[#This Row],[2022 Member Months]]=0,"NA",SUMIFS(ACOAETME2022[[#All],[Claims: Hospital Inpatient]],ACOAETME2022[[#All],[Insurance Category Code]], $E$104,ACOAETME2022[[#All],[ACO/AE or Insurer Overall Organization ID]],ValbyACO_ICC1[[#This Row],[Org ID]])/ValbyACO_ICC1[[#This Row],[2022 Member Months]])</f>
        <v>NA</v>
      </c>
      <c r="T114" s="118" t="str">
        <f>IF(ValbyACO_ICC1[[#This Row],[2022 Member Months]]=0,"NA",SUMIFS(ACOAETME2022[[#All],[Claims: Hospital Outpatient]],ACOAETME2022[[#All],[Insurance Category Code]], $E$104,ACOAETME2022[[#All],[ACO/AE or Insurer Overall Organization ID]],ValbyACO_ICC1[[#This Row],[Org ID]])/ValbyACO_ICC1[[#This Row],[2022 Member Months]])</f>
        <v>NA</v>
      </c>
      <c r="U114" s="118" t="str">
        <f>IF(ValbyACO_ICC1[[#This Row],[2022 Member Months]]=0,"NA",SUMIFS(ACOAETME2022[[#All],[Claims: Professional, Primary Care]],ACOAETME2022[[#All],[Insurance Category Code]], $E$104,ACOAETME2022[[#All],[ACO/AE or Insurer Overall Organization ID]],ValbyACO_ICC1[[#This Row],[Org ID]])/ValbyACO_ICC1[[#This Row],[2022 Member Months]])</f>
        <v>NA</v>
      </c>
      <c r="V114" s="118" t="str">
        <f>IF(ValbyACO_ICC1[[#This Row],[2022 Member Months]]=0,"NA",SUMIFS(ACOAETME2022[[#All],[Claims: Professional, Specialty Care]],ACOAETME2022[[#All],[Insurance Category Code]], $E$104,ACOAETME2022[[#All],[ACO/AE or Insurer Overall Organization ID]],ValbyACO_ICC1[[#This Row],[Org ID]])/ValbyACO_ICC1[[#This Row],[2022 Member Months]])</f>
        <v>NA</v>
      </c>
      <c r="W114" s="118" t="str">
        <f>IF(ValbyACO_ICC1[[#This Row],[2022 Member Months]]=0,"NA",SUMIFS(ACOAETME2022[[#All],[Claims: Professional Other]],ACOAETME2022[[#All],[Insurance Category Code]], $E$104,ACOAETME2022[[#All],[ACO/AE or Insurer Overall Organization ID]],ValbyACO_ICC1[[#This Row],[Org ID]])/ValbyACO_ICC1[[#This Row],[2022 Member Months]])</f>
        <v>NA</v>
      </c>
      <c r="X114" s="118" t="str">
        <f>IF(ValbyACO_ICC1[[#This Row],[2022 Member Months]]=0,"NA",SUMIFS(ACOAETME2022[[#All],[Claims: Pharmacy]],ACOAETME2022[[#All],[Insurance Category Code]], $E$104,ACOAETME2022[[#All],[ACO/AE or Insurer Overall Organization ID]],ValbyACO_ICC1[[#This Row],[Org ID]])/ValbyACO_ICC1[[#This Row],[2022 Member Months]])</f>
        <v>NA</v>
      </c>
      <c r="Y114" s="118" t="str">
        <f>IF(ValbyACO_ICC1[[#This Row],[2022 Member Months]]=0,"NA",SUMIFS(ACOAETME2022[[#All],[Claims: Long-Term Care]],ACOAETME2022[[#All],[Insurance Category Code]], $E$104,ACOAETME2022[[#All],[ACO/AE or Insurer Overall Organization ID]],ValbyACO_ICC1[[#This Row],[Org ID]])/ValbyACO_ICC1[[#This Row],[2022 Member Months]])</f>
        <v>NA</v>
      </c>
      <c r="Z114" s="118" t="str">
        <f>IF(ValbyACO_ICC1[[#This Row],[2022 Member Months]]=0,"NA",SUMIFS(ACOAETME2022[[#All],[Claims: Other]],ACOAETME2022[[#All],[Insurance Category Code]], $E$104,ACOAETME2022[[#All],[ACO/AE or Insurer Overall Organization ID]],ValbyACO_ICC1[[#This Row],[Org ID]])/ValbyACO_ICC1[[#This Row],[2022 Member Months]])</f>
        <v>NA</v>
      </c>
      <c r="AA114" s="118" t="str">
        <f>IF(ValbyACO_ICC1[[#This Row],[2022 Member Months]]=0,"NA",SUMIFS(ACOAETME2022[[#All],[TOTAL Non-Truncated Unadjusted Claims Expenses]],ACOAETME2022[[#All],[Insurance Category Code]], $E$104,ACOAETME2022[[#All],[ACO/AE or Insurer Overall Organization ID]],ValbyACO_ICC1[[#This Row],[Org ID]])/ValbyACO_ICC1[[#This Row],[2022 Member Months]])</f>
        <v>NA</v>
      </c>
      <c r="AB114" s="118" t="str">
        <f>IF(ValbyACO_ICC1[[#This Row],[2022 Member Months]]=0,"NA",SUMIFS(ACOAETME2022[[#All],[TOTAL Truncated Unadjusted Expenses (A20+A21)]],ACOAETME2022[[#All],[Insurance Category Code]], $E$104,ACOAETME2022[[#All],[ACO/AE or Insurer Overall Organization ID]],ValbyACO_ICC1[[#This Row],[Org ID]])/ValbyACO_ICC1[[#This Row],[2022 Member Months]])</f>
        <v>NA</v>
      </c>
      <c r="AC114" s="118" t="str">
        <f>IF(ValbyACO_ICC1[[#This Row],[2022 Member Months]]=0,"NA",SUMIFS(ACOAETME2022[[#All],[TOTAL Non-Claims Expenses]],ACOAETME2022[[#All],[Insurance Category Code]], $E$104,ACOAETME2022[[#All],[ACO/AE or Insurer Overall Organization ID]],ValbyACO_ICC1[[#This Row],[Org ID]])/ValbyACO_ICC1[[#This Row],[2022 Member Months]])</f>
        <v>NA</v>
      </c>
      <c r="AD114" s="268" t="str">
        <f>IF(ValbyACO_ICC1[[#This Row],[2022 Member Months]]=0,"NA",SUMIFS(ACOAETME2022[[#All],[TOTAL Non-Truncated Unadjusted Expenses 
(A19+A21)]],ACOAETME2022[[#All],[Insurance Category Code]], $E$104,ACOAETME2022[[#All],[ACO/AE or Insurer Overall Organization ID]],ValbyACO_ICC1[[#This Row],[Org ID]])/ValbyACO_ICC1[[#This Row],[2022 Member Months]])</f>
        <v>NA</v>
      </c>
      <c r="AE114" s="119" t="str">
        <f>IF(ValbyACO_ICC1[[#This Row],[2022 Member Months]]=0,"NA",SUMIFS(ACOAETME2022[[#All],[TOTAL Truncated Unadjusted Expenses (A20+A21)]],ACOAETME2022[[#All],[Insurance Category Code]],$E$104,ACOAETME2022[[#All],[ACO/AE or Insurer Overall Organization ID]],ValbyACO_ICC1[[#This Row],[Org ID]])/ValbyACO_ICC1[[#This Row],[2022 Member Months]])</f>
        <v>NA</v>
      </c>
      <c r="AF114" s="161" t="str">
        <f>IFERROR(IF(ValbyACO_ICC1[[#This Row],[2021 Member Months]]=0,"NA",ValbyACO_ICC1[[#This Row],[2022 Member Months]]/ValbyACO_ICC1[[#This Row],[2021 Member Months]]-1),"NA")</f>
        <v>NA</v>
      </c>
      <c r="AG114" s="161" t="str">
        <f>IFERROR(IF(ValbyACO_ICC1[[#This Row],[2021 Member Months]]=0,"NA",ValbyACO_ICC1[[#This Row],[2022 Claims: Hospital Inpatient]]/ValbyACO_ICC1[[#This Row],[2021 Claims: Hospital Inpatient]]-1),"NA")</f>
        <v>NA</v>
      </c>
      <c r="AH114" s="162" t="str">
        <f>IFERROR(IF(ValbyACO_ICC1[[#This Row],[2021 Member Months]]=0,"NA",ValbyACO_ICC1[[#This Row],[2022 Claims: Hospital Outpatient]]/ValbyACO_ICC1[[#This Row],[2021 Claims: Hospital Outpatient]]-1),"NA")</f>
        <v>NA</v>
      </c>
      <c r="AI114" s="162" t="str">
        <f>IFERROR(IF(ValbyACO_ICC1[[#This Row],[2021 Member Months]]=0,"NA",ValbyACO_ICC1[[#This Row],[2022 Claims: Professional, Primary Care]]/ValbyACO_ICC1[[#This Row],[2021 Claims: Professional, Primary Care]]-1),"NA")</f>
        <v>NA</v>
      </c>
      <c r="AJ114" s="162" t="str">
        <f>IFERROR(IF(ValbyACO_ICC1[[#This Row],[2021 Member Months]]=0,"NA",ValbyACO_ICC1[[#This Row],[2022 Claims: Professional, Specialty Care]]/ValbyACO_ICC1[[#This Row],[2021 Claims: Professional, Specialty Care]]-1),"NA")</f>
        <v>NA</v>
      </c>
      <c r="AK114" s="162" t="str">
        <f>IFERROR(IF(ValbyACO_ICC1[[#This Row],[2021 Member Months]]=0,"NA", ValbyACO_ICC1[[#This Row],[2022 Claims: Professional Other]]/ValbyACO_ICC1[[#This Row],[2021 Claims: Professional Other]]-1),"NA")</f>
        <v>NA</v>
      </c>
      <c r="AL114" s="162" t="str">
        <f>IFERROR(IF(ValbyACO_ICC1[[#This Row],[2021 Member Months]]=0,"NA",ValbyACO_ICC1[[#This Row],[2022 Claims: Pharmacy (Gross of Retail Pharmacy Rebates)]]/ValbyACO_ICC1[[#This Row],[2021 Claims: Pharmacy (Gross of  Rebates)]]-1),"NA")</f>
        <v>NA</v>
      </c>
      <c r="AM114" s="162" t="str">
        <f>IFERROR(IF(ValbyACO_ICC1[[#This Row],[2021 Member Months]]=0,"NA",ValbyACO_ICC1[[#This Row],[2022 Claims: Long-term Care]]/ValbyACO_ICC1[[#This Row],[2021 Claims: Long-term Care]]-1),"NA")</f>
        <v>NA</v>
      </c>
      <c r="AN114" s="162" t="str">
        <f>IFERROR(IF(ValbyACO_ICC1[[#This Row],[2021 Member Months]]=0,"NA",ValbyACO_ICC1[[#This Row],[2022 Claims: Other]]/ValbyACO_ICC1[[#This Row],[2021 Claims: Other]]-1),"NA")</f>
        <v>NA</v>
      </c>
      <c r="AO114" s="163" t="str">
        <f>IFERROR(IF(ValbyACO_ICC1[[#This Row],[2021 Member Months]]=0,"NA",ValbyACO_ICC1[[#This Row],[2022 TOTAL Non-Truncated Claims Expenses]]/ValbyACO_ICC1[[#This Row],[2021 TOTAL Non-Truncated Claims Expenses]]-1),"NA")</f>
        <v>NA</v>
      </c>
      <c r="AP114" s="163" t="str">
        <f>IFERROR(IF(ValbyACO_ICC1[[#This Row],[2021 Member Months]]=0,"NA",ValbyACO_ICC1[[#This Row],[2022 TOTAL Truncated Claims Expenses]]/ValbyACO_ICC1[[#This Row],[2021 TOTAL Truncated Claims Expenses]]-1),"NA")</f>
        <v>NA</v>
      </c>
      <c r="AQ114" s="163" t="str">
        <f>IFERROR(IF(ValbyACO_ICC1[[#This Row],[2021 Member Months]]=0,"NA",ValbyACO_ICC1[[#This Row],[2022 TOTAL Non-Claims Expenses]]/ValbyACO_ICC1[[#This Row],[2021 TOTAL Non-Claims Expenses]]-1),"NA")</f>
        <v>NA</v>
      </c>
      <c r="AR114" s="163" t="str">
        <f>IFERROR(IF(ValbyACO_ICC1[[#This Row],[2021 Member Months]]=0,"NA",ValbyACO_ICC1[[#This Row],[2022 TOTAL Non-Truncated Total Expenses]]/ValbyACO_ICC1[[#This Row],[2021 TOTAL Non-Truncated Total Expenses]]-1),"NA")</f>
        <v>NA</v>
      </c>
      <c r="AS114" s="163" t="str">
        <f>IFERROR(IF(ValbyACO_ICC1[[#This Row],[2021 Member Months]]=0,"NA",ValbyACO_ICC1[[#This Row],[2022 TOTAL Truncated Total Expenses]]/ValbyACO_ICC1[[#This Row],[2021 TOTAL Truncated Total Expenses]]-1),"NA")</f>
        <v>NA</v>
      </c>
    </row>
    <row r="115" spans="1:45" x14ac:dyDescent="0.35">
      <c r="B115" s="251"/>
      <c r="C115" s="292" t="s">
        <v>118</v>
      </c>
      <c r="D115" s="273">
        <f>SUM(D106:D114)</f>
        <v>0</v>
      </c>
      <c r="E115" s="269" t="str">
        <f>IF(ValbyACO_ICC1[[#This Row],[2021 Member Months]]=0,"NA",SUMPRODUCT(E106:E114,D106:D114)/ValbyACO_ICC1[[#This Row],[2021 Member Months]])</f>
        <v>NA</v>
      </c>
      <c r="F115" s="269" t="str">
        <f>IF(ValbyACO_ICC1[[#This Row],[2021 Member Months]]=0,"NA",SUMPRODUCT(F106:F114,D106:D114)/ValbyACO_ICC1[[#This Row],[2021 Member Months]])</f>
        <v>NA</v>
      </c>
      <c r="G115" s="269" t="str">
        <f>IF(ValbyACO_ICC1[[#This Row],[2021 Member Months]]=0,"NA",SUMPRODUCT(G106:G114,D106:D114)/ValbyACO_ICC1[[#This Row],[2021 Member Months]])</f>
        <v>NA</v>
      </c>
      <c r="H115" s="269" t="str">
        <f>IF(ValbyACO_ICC1[[#This Row],[2021 Member Months]]=0,"NA",SUMPRODUCT(H106:H114,D106:D114)/ValbyACO_ICC1[[#This Row],[2021 Member Months]])</f>
        <v>NA</v>
      </c>
      <c r="I115" s="269" t="str">
        <f>IF(ValbyACO_ICC1[[#This Row],[2021 Member Months]]=0,"NA",SUMPRODUCT(I106:I114,D106:D114)/ValbyACO_ICC1[[#This Row],[2021 Member Months]])</f>
        <v>NA</v>
      </c>
      <c r="J115" s="269" t="str">
        <f>IF(ValbyACO_ICC1[[#This Row],[2021 Member Months]]=0,"NA",SUMPRODUCT(J106:J114,D106:D114)/ValbyACO_ICC1[[#This Row],[2021 Member Months]])</f>
        <v>NA</v>
      </c>
      <c r="K115" s="269" t="str">
        <f>IF(ValbyACO_ICC1[[#This Row],[2021 Member Months]]=0,"NA",SUMPRODUCT(K106:K114,D106:D114)/ValbyACO_ICC1[[#This Row],[2021 Member Months]])</f>
        <v>NA</v>
      </c>
      <c r="L115" s="269" t="str">
        <f>IF(ValbyACO_ICC1[[#This Row],[2021 Member Months]]=0,"NA",SUMPRODUCT(L106:L114,D106:D114)/ValbyACO_ICC1[[#This Row],[2021 Member Months]])</f>
        <v>NA</v>
      </c>
      <c r="M115" s="123" t="str">
        <f>IF(ValbyACO_ICC1[[#This Row],[2021 Member Months]]=0,"NA",SUMPRODUCT(M106:M114,D106:D114)/ValbyACO_ICC1[[#This Row],[2021 Member Months]])</f>
        <v>NA</v>
      </c>
      <c r="N115" s="123" t="str">
        <f>IF(ValbyACO_ICC1[[#This Row],[2021 Member Months]]=0,"NA",SUMPRODUCT(N106:N114,D106:D114)/ValbyACO_ICC1[[#This Row],[2021 Member Months]])</f>
        <v>NA</v>
      </c>
      <c r="O115" s="123" t="str">
        <f>IF(ValbyACO_ICC1[[#This Row],[2021 Member Months]]=0,"NA",SUMPRODUCT(O106:O114,D106:D114)/ValbyACO_ICC1[[#This Row],[2021 Member Months]])</f>
        <v>NA</v>
      </c>
      <c r="P115" s="269" t="str">
        <f>IF(ValbyACO_ICC1[[#This Row],[2021 Member Months]]=0,"NA",SUMPRODUCT(P106:P114,D106:D114)/ValbyACO_ICC1[[#This Row],[2021 Member Months]])</f>
        <v>NA</v>
      </c>
      <c r="Q115" s="125" t="str">
        <f>IF(ValbyACO_ICC1[[#This Row],[2021 Member Months]]=0,"NA",SUMPRODUCT(Q106:Q114,D106:D114)/ValbyACO_ICC1[[#This Row],[2021 Member Months]])</f>
        <v>NA</v>
      </c>
      <c r="R115" s="273">
        <f>SUM(R106:R114)</f>
        <v>0</v>
      </c>
      <c r="S115" s="123" t="str">
        <f>IF(ValbyACO_ICC1[[#This Row],[2022 Member Months]]=0,"NA",SUMPRODUCT(S106:S114,R106:R114)/ValbyACO_ICC1[[#This Row],[2022 Member Months]])</f>
        <v>NA</v>
      </c>
      <c r="T115" s="123" t="str">
        <f>IF(ValbyACO_ICC1[[#This Row],[2022 Member Months]]=0,"NA",SUMPRODUCT(T106:T114,R106:R114)/ValbyACO_ICC1[[#This Row],[2022 Member Months]])</f>
        <v>NA</v>
      </c>
      <c r="U115" s="123" t="str">
        <f>IF(ValbyACO_ICC1[[#This Row],[2022 Member Months]]=0,"NA",SUMPRODUCT(U106:U114,R106:R114)/ValbyACO_ICC1[[#This Row],[2022 Member Months]])</f>
        <v>NA</v>
      </c>
      <c r="V115" s="123" t="str">
        <f>IF(ValbyACO_ICC1[[#This Row],[2022 Member Months]]=0,"NA",SUMPRODUCT(V106:V114,R106:R114)/ValbyACO_ICC1[[#This Row],[2022 Member Months]])</f>
        <v>NA</v>
      </c>
      <c r="W115" s="123" t="str">
        <f>IF(ValbyACO_ICC1[[#This Row],[2022 Member Months]]=0,"NA",SUMPRODUCT(W106:W114,R106:R114)/ValbyACO_ICC1[[#This Row],[2022 Member Months]])</f>
        <v>NA</v>
      </c>
      <c r="X115" s="123" t="str">
        <f>IF(ValbyACO_ICC1[[#This Row],[2022 Member Months]]=0,"NA",SUMPRODUCT(X106:X114,R106:R114)/ValbyACO_ICC1[[#This Row],[2022 Member Months]])</f>
        <v>NA</v>
      </c>
      <c r="Y115" s="123" t="str">
        <f>IF(ValbyACO_ICC1[[#This Row],[2022 Member Months]]=0,"NA",SUMPRODUCT(Y106:Y114,R106:R114)/ValbyACO_ICC1[[#This Row],[2022 Member Months]])</f>
        <v>NA</v>
      </c>
      <c r="Z115" s="123" t="str">
        <f>IF(ValbyACO_ICC1[[#This Row],[2022 Member Months]]=0,"NA",SUMPRODUCT(Z106:Z114,R106:R114)/ValbyACO_ICC1[[#This Row],[2022 Member Months]])</f>
        <v>NA</v>
      </c>
      <c r="AA115" s="123" t="str">
        <f>IF(ValbyACO_ICC1[[#This Row],[2022 Member Months]]=0,"NA",SUMPRODUCT(AA106:AA114,R106:R114)/ValbyACO_ICC1[[#This Row],[2022 Member Months]])</f>
        <v>NA</v>
      </c>
      <c r="AB115" s="123" t="str">
        <f>IF(ValbyACO_ICC1[[#This Row],[2022 Member Months]]=0,"NA",SUMPRODUCT(AB106:AB114,R106:R114)/ValbyACO_ICC1[[#This Row],[2022 Member Months]])</f>
        <v>NA</v>
      </c>
      <c r="AC115" s="123" t="str">
        <f>IF(ValbyACO_ICC1[[#This Row],[2022 Member Months]]=0,"NA",SUMPRODUCT(AC106:AC114,R106:R114)/ValbyACO_ICC1[[#This Row],[2022 Member Months]])</f>
        <v>NA</v>
      </c>
      <c r="AD115" s="269" t="str">
        <f>IF(ValbyACO_ICC1[[#This Row],[2022 Member Months]]=0,"NA",SUMPRODUCT(AD106:AD114,R106:R114)/ValbyACO_ICC1[[#This Row],[2022 Member Months]])</f>
        <v>NA</v>
      </c>
      <c r="AE115" s="125" t="str">
        <f>IF(ValbyACO_ICC1[[#This Row],[2022 Member Months]]=0,"NA",SUMPRODUCT(AE106:AE114,R106:R114)/ValbyACO_ICC1[[#This Row],[2022 Member Months]])</f>
        <v>NA</v>
      </c>
      <c r="AF115" s="166" t="str">
        <f>IFERROR(IF(ValbyACO_ICC1[[#This Row],[2021 Member Months]]=0,"NA",ValbyACO_ICC1[[#This Row],[2022 Member Months]]/ValbyACO_ICC1[[#This Row],[2021 Member Months]]-1),"NA")</f>
        <v>NA</v>
      </c>
      <c r="AG115" s="166" t="str">
        <f>IFERROR(IF(ValbyACO_ICC1[[#This Row],[2021 Member Months]]=0,"NA",ValbyACO_ICC1[[#This Row],[2022 Claims: Hospital Inpatient]]/ValbyACO_ICC1[[#This Row],[2021 Claims: Hospital Inpatient]]-1),"NA")</f>
        <v>NA</v>
      </c>
      <c r="AH115" s="167" t="str">
        <f>IFERROR(IF(ValbyACO_ICC1[[#This Row],[2021 Member Months]]=0,"NA",ValbyACO_ICC1[[#This Row],[2022 Claims: Hospital Outpatient]]/ValbyACO_ICC1[[#This Row],[2021 Claims: Hospital Outpatient]]-1),"NA")</f>
        <v>NA</v>
      </c>
      <c r="AI115" s="167" t="str">
        <f>IFERROR(IF(ValbyACO_ICC1[[#This Row],[2021 Member Months]]=0,"NA",ValbyACO_ICC1[[#This Row],[2022 Claims: Professional, Primary Care]]/ValbyACO_ICC1[[#This Row],[2021 Claims: Professional, Primary Care]]-1),"NA")</f>
        <v>NA</v>
      </c>
      <c r="AJ115" s="167" t="str">
        <f>IFERROR(IF(ValbyACO_ICC1[[#This Row],[2021 Member Months]]=0,"NA",ValbyACO_ICC1[[#This Row],[2022 Claims: Professional, Specialty Care]]/ValbyACO_ICC1[[#This Row],[2021 Claims: Professional, Specialty Care]]-1),"NA")</f>
        <v>NA</v>
      </c>
      <c r="AK115" s="167" t="str">
        <f>IFERROR(IF(ValbyACO_ICC1[[#This Row],[2021 Member Months]]=0,"NA", ValbyACO_ICC1[[#This Row],[2022 Claims: Professional Other]]/ValbyACO_ICC1[[#This Row],[2021 Claims: Professional Other]]-1),"NA")</f>
        <v>NA</v>
      </c>
      <c r="AL115" s="167" t="str">
        <f>IFERROR(IF(ValbyACO_ICC1[[#This Row],[2021 Member Months]]=0,"NA",ValbyACO_ICC1[[#This Row],[2022 Claims: Pharmacy (Gross of Retail Pharmacy Rebates)]]/ValbyACO_ICC1[[#This Row],[2021 Claims: Pharmacy (Gross of  Rebates)]]-1),"NA")</f>
        <v>NA</v>
      </c>
      <c r="AM115" s="167" t="str">
        <f>IFERROR(IF(ValbyACO_ICC1[[#This Row],[2021 Member Months]]=0,"NA",ValbyACO_ICC1[[#This Row],[2022 Claims: Long-term Care]]/ValbyACO_ICC1[[#This Row],[2021 Claims: Long-term Care]]-1),"NA")</f>
        <v>NA</v>
      </c>
      <c r="AN115" s="167" t="str">
        <f>IFERROR(IF(ValbyACO_ICC1[[#This Row],[2021 Member Months]]=0,"NA",ValbyACO_ICC1[[#This Row],[2022 Claims: Other]]/ValbyACO_ICC1[[#This Row],[2021 Claims: Other]]-1),"NA")</f>
        <v>NA</v>
      </c>
      <c r="AO115" s="168" t="str">
        <f>IFERROR(IF(ValbyACO_ICC1[[#This Row],[2021 Member Months]]=0,"NA",ValbyACO_ICC1[[#This Row],[2022 TOTAL Non-Truncated Claims Expenses]]/ValbyACO_ICC1[[#This Row],[2021 TOTAL Non-Truncated Claims Expenses]]-1),"NA")</f>
        <v>NA</v>
      </c>
      <c r="AP115" s="168" t="str">
        <f>IFERROR(IF(ValbyACO_ICC1[[#This Row],[2021 Member Months]]=0,"NA",ValbyACO_ICC1[[#This Row],[2022 TOTAL Truncated Claims Expenses]]/ValbyACO_ICC1[[#This Row],[2021 TOTAL Truncated Claims Expenses]]-1),"NA")</f>
        <v>NA</v>
      </c>
      <c r="AQ115" s="168" t="str">
        <f>IFERROR(IF(ValbyACO_ICC1[[#This Row],[2021 Member Months]]=0,"NA",ValbyACO_ICC1[[#This Row],[2022 TOTAL Non-Claims Expenses]]/ValbyACO_ICC1[[#This Row],[2021 TOTAL Non-Claims Expenses]]-1),"NA")</f>
        <v>NA</v>
      </c>
      <c r="AR115" s="168" t="str">
        <f>IFERROR(IF(ValbyACO_ICC1[[#This Row],[2021 Member Months]]=0,"NA",ValbyACO_ICC1[[#This Row],[2022 TOTAL Non-Truncated Total Expenses]]/ValbyACO_ICC1[[#This Row],[2021 TOTAL Non-Truncated Total Expenses]]-1),"NA")</f>
        <v>NA</v>
      </c>
      <c r="AS115" s="168" t="str">
        <f>IFERROR(IF(ValbyACO_ICC1[[#This Row],[2021 Member Months]]=0,"NA",ValbyACO_ICC1[[#This Row],[2022 TOTAL Truncated Total Expenses]]/ValbyACO_ICC1[[#This Row],[2021 TOTAL Truncated Total Expenses]]-1),"NA")</f>
        <v>NA</v>
      </c>
    </row>
    <row r="116" spans="1:45" ht="15" thickBot="1" x14ac:dyDescent="0.4">
      <c r="B116" s="255"/>
      <c r="C116" s="293" t="s">
        <v>119</v>
      </c>
      <c r="D116" s="274">
        <f t="shared" ref="D116" si="12">D115</f>
        <v>0</v>
      </c>
      <c r="E116" s="344"/>
      <c r="F116" s="345"/>
      <c r="G116" s="345"/>
      <c r="H116" s="345"/>
      <c r="I116" s="345"/>
      <c r="J116" s="340" t="str">
        <f>IF(ValbyACO_ICC1[[#This Row],[2021 Member Months]]=0,"NA",(SUMPRODUCT(J106:J114,D106:D114)-ABS(SUMIF(RxRebates21[[#All],[Insurance Category Code]],$E$104,RxRebates21[[#All],[Retail Pharmacy Rebates]])))/ValbyACO_ICC1[[#This Row],[2021 Member Months]])</f>
        <v>NA</v>
      </c>
      <c r="K116" s="345"/>
      <c r="L116" s="345"/>
      <c r="M116" s="127" t="str">
        <f>IF(ValbyACO_ICC1[[#This Row],[2021 Member Months]]=0,"NA",(SUMPRODUCT(M106:M114,D106:D114)-ABS(SUMIF(RxRebates21[[#All],[Insurance Category Code]],$E$104,RxRebates21[[#All],[Total Pharmacy Rebates]])))/ValbyACO_ICC1[[#This Row],[2021 Member Months]])</f>
        <v>NA</v>
      </c>
      <c r="N116" s="127" t="str">
        <f>IF(ValbyACO_ICC1[[#This Row],[2021 Member Months]]=0,"NA",(SUMPRODUCT(N106:N114,D106:D114)-ABS(SUMIF(RxRebates21[[#All],[Insurance Category Code]],$E$104,RxRebates21[[#All],[Total Pharmacy Rebates]])))/ValbyACO_ICC1[[#This Row],[2021 Member Months]])</f>
        <v>NA</v>
      </c>
      <c r="O116" s="127" t="str">
        <f>IF(ValbyACO_ICC1[[#This Row],[2021 Member Months]]=0,"NA",(SUMPRODUCT(O106:O114,D106:D114)-ABS(SUMIF(RxRebates21[[#All],[Insurance Category Code]],$E$104,RxRebates21[[#All],[Total Pharmacy Rebates]])))/ValbyACO_ICC1[[#This Row],[2021 Member Months]])</f>
        <v>NA</v>
      </c>
      <c r="P116" s="127" t="str">
        <f>IF(ValbyACO_ICC1[[#This Row],[2021 Member Months]]=0,"NA",(SUMPRODUCT(P106:P114,D106:D114)-ABS(SUMIF(RxRebates21[[#All],[Insurance Category Code]],$E$104,RxRebates21[[#All],[Total Pharmacy Rebates]])))/ValbyACO_ICC1[[#This Row],[2021 Member Months]])</f>
        <v>NA</v>
      </c>
      <c r="Q116" s="128" t="str">
        <f>IF(ValbyACO_ICC1[[#This Row],[2021 Member Months]]=0,"NA",(SUMPRODUCT(Q106:Q114,D106:D114)-ABS(SUMIF(RxRebates21[[#All],[Insurance Category Code]],$E$104,RxRebates21[[#All],[Total Pharmacy Rebates]])))/ValbyACO_ICC1[[#This Row],[2021 Member Months]])</f>
        <v>NA</v>
      </c>
      <c r="R116" s="274">
        <f t="shared" ref="R116" si="13">R115</f>
        <v>0</v>
      </c>
      <c r="S116" s="346"/>
      <c r="T116" s="347"/>
      <c r="U116" s="347"/>
      <c r="V116" s="347"/>
      <c r="W116" s="347"/>
      <c r="X116" s="126" t="str">
        <f>IF(ValbyACO_ICC1[[#This Row],[2022 Member Months]]=0,"NA",(SUMPRODUCT(X106:X114,R106:R114)-ABS(SUMIF(RxRebates22[[#All],[Insurance Category Code]],$E$104,RxRebates22[[#All],[Retail Pharmacy Rebates]])))/ValbyACO_ICC1[[#This Row],[2022 Member Months]])</f>
        <v>NA</v>
      </c>
      <c r="Y116" s="347"/>
      <c r="Z116" s="347"/>
      <c r="AA116" s="127" t="str">
        <f>IF(ValbyACO_ICC1[[#This Row],[2022 Member Months]]=0,"NA",(SUMPRODUCT(AA106:AA114,R106:R114)-ABS(SUMIF(RxRebates22[[#All],[Insurance Category Code]],$E$104,RxRebates22[[#All],[Total Pharmacy Rebates]])))/ValbyACO_ICC1[[#This Row],[2022 Member Months]])</f>
        <v>NA</v>
      </c>
      <c r="AB116" s="127" t="str">
        <f>IF(ValbyACO_ICC1[[#This Row],[2022 Member Months]]=0,"NA",(SUMPRODUCT(AB106:AB114,R106:R114)-ABS(SUMIF(RxRebates22[[#All],[Insurance Category Code]],$E$104,RxRebates22[[#All],[Total Pharmacy Rebates]])))/ValbyACO_ICC1[[#This Row],[2022 Member Months]])</f>
        <v>NA</v>
      </c>
      <c r="AC116" s="127" t="str">
        <f>IF(ValbyACO_ICC1[[#This Row],[2022 Member Months]]=0,"NA",(SUMPRODUCT(AC106:AC114,R106:R114)-ABS(SUMIF(RxRebates22[[#All],[Insurance Category Code]],$E$104,RxRebates22[[#All],[Total Pharmacy Rebates]])))/ValbyACO_ICC1[[#This Row],[2022 Member Months]])</f>
        <v>NA</v>
      </c>
      <c r="AD116" s="127" t="str">
        <f>IF(ValbyACO_ICC1[[#This Row],[2022 Member Months]]=0,"NA",(SUMPRODUCT(AD106:AD114,R106:R114)-ABS(SUMIF(RxRebates22[[#All],[Insurance Category Code]],$E$104,RxRebates22[[#All],[Total Pharmacy Rebates]])))/ValbyACO_ICC1[[#This Row],[2022 Member Months]])</f>
        <v>NA</v>
      </c>
      <c r="AE116" s="128" t="str">
        <f>IF(ValbyACO_ICC1[[#This Row],[2022 Member Months]]=0,"NA",(SUMPRODUCT(AE106:AE114,R106:R114)-ABS(SUMIF(RxRebates22[[#All],[Insurance Category Code]],$E$104,RxRebates22[[#All],[Total Pharmacy Rebates]])))/ValbyACO_ICC1[[#This Row],[2022 Member Months]])</f>
        <v>NA</v>
      </c>
      <c r="AF116" s="166" t="str">
        <f>IFERROR(IF(ValbyACO_ICC1[[#This Row],[2021 Member Months]]=0,"NA",ValbyACO_ICC1[[#This Row],[2022 Member Months]]/ValbyACO_ICC1[[#This Row],[2021 Member Months]]-1),"NA")</f>
        <v>NA</v>
      </c>
      <c r="AG116" s="335"/>
      <c r="AH116" s="336"/>
      <c r="AI116" s="336"/>
      <c r="AJ116" s="336"/>
      <c r="AK116" s="336"/>
      <c r="AL116" s="167" t="str">
        <f>IFERROR(IF(ValbyACO_ICC1[[#This Row],[2021 Member Months]]=0,"NA",ValbyACO_ICC1[[#This Row],[2022 Claims: Pharmacy (Gross of Retail Pharmacy Rebates)]]/ValbyACO_ICC1[[#This Row],[2021 Claims: Pharmacy (Gross of  Rebates)]]-1),"NA")</f>
        <v>NA</v>
      </c>
      <c r="AM116" s="336"/>
      <c r="AN116" s="336"/>
      <c r="AO116" s="168" t="str">
        <f>IFERROR(IF(ValbyACO_ICC1[[#This Row],[2021 Member Months]]=0,"NA",ValbyACO_ICC1[[#This Row],[2022 TOTAL Non-Truncated Claims Expenses]]/ValbyACO_ICC1[[#This Row],[2021 TOTAL Non-Truncated Claims Expenses]]-1),"NA")</f>
        <v>NA</v>
      </c>
      <c r="AP116" s="168" t="str">
        <f>IFERROR(IF(ValbyACO_ICC1[[#This Row],[2021 Member Months]]=0,"NA",ValbyACO_ICC1[[#This Row],[2022 TOTAL Truncated Claims Expenses]]/ValbyACO_ICC1[[#This Row],[2021 TOTAL Truncated Claims Expenses]]-1),"NA")</f>
        <v>NA</v>
      </c>
      <c r="AQ116" s="168" t="str">
        <f>IFERROR(IF(ValbyACO_ICC1[[#This Row],[2021 Member Months]]=0,"NA",ValbyACO_ICC1[[#This Row],[2022 TOTAL Non-Claims Expenses]]/ValbyACO_ICC1[[#This Row],[2021 TOTAL Non-Claims Expenses]]-1),"NA")</f>
        <v>NA</v>
      </c>
      <c r="AR116" s="168" t="str">
        <f>IFERROR(IF(ValbyACO_ICC1[[#This Row],[2021 Member Months]]=0,"NA",ValbyACO_ICC1[[#This Row],[2022 TOTAL Non-Truncated Total Expenses]]/ValbyACO_ICC1[[#This Row],[2021 TOTAL Non-Truncated Total Expenses]]-1),"NA")</f>
        <v>NA</v>
      </c>
      <c r="AS116" s="168" t="str">
        <f>IFERROR(IF(ValbyACO_ICC1[[#This Row],[2021 Member Months]]=0,"NA",ValbyACO_ICC1[[#This Row],[2022 TOTAL Truncated Total Expenses]]/ValbyACO_ICC1[[#This Row],[2021 TOTAL Truncated Total Expenses]]-1),"NA")</f>
        <v>NA</v>
      </c>
    </row>
    <row r="118" spans="1:45" ht="16" thickBot="1" x14ac:dyDescent="0.4">
      <c r="B118" s="42" t="s">
        <v>153</v>
      </c>
      <c r="C118" s="42"/>
      <c r="E118" s="15">
        <v>5</v>
      </c>
    </row>
    <row r="119" spans="1:45" ht="43.5" x14ac:dyDescent="0.35">
      <c r="B119" s="286" t="s">
        <v>159</v>
      </c>
      <c r="C119" s="287" t="s">
        <v>542</v>
      </c>
      <c r="D119" s="325" t="s">
        <v>544</v>
      </c>
      <c r="E119" s="307" t="s">
        <v>545</v>
      </c>
      <c r="F119" s="307" t="s">
        <v>546</v>
      </c>
      <c r="G119" s="307" t="s">
        <v>547</v>
      </c>
      <c r="H119" s="307" t="s">
        <v>548</v>
      </c>
      <c r="I119" s="307" t="s">
        <v>549</v>
      </c>
      <c r="J119" s="307" t="s">
        <v>665</v>
      </c>
      <c r="K119" s="307" t="s">
        <v>550</v>
      </c>
      <c r="L119" s="307" t="s">
        <v>551</v>
      </c>
      <c r="M119" s="307" t="s">
        <v>552</v>
      </c>
      <c r="N119" s="307" t="s">
        <v>553</v>
      </c>
      <c r="O119" s="307" t="s">
        <v>554</v>
      </c>
      <c r="P119" s="307" t="s">
        <v>555</v>
      </c>
      <c r="Q119" s="408" t="s">
        <v>556</v>
      </c>
      <c r="R119" s="326" t="s">
        <v>662</v>
      </c>
      <c r="S119" s="307" t="s">
        <v>649</v>
      </c>
      <c r="T119" s="307" t="s">
        <v>650</v>
      </c>
      <c r="U119" s="307" t="s">
        <v>651</v>
      </c>
      <c r="V119" s="307" t="s">
        <v>652</v>
      </c>
      <c r="W119" s="307" t="s">
        <v>653</v>
      </c>
      <c r="X119" s="307" t="s">
        <v>654</v>
      </c>
      <c r="Y119" s="307" t="s">
        <v>655</v>
      </c>
      <c r="Z119" s="307" t="s">
        <v>656</v>
      </c>
      <c r="AA119" s="307" t="s">
        <v>657</v>
      </c>
      <c r="AB119" s="307" t="s">
        <v>658</v>
      </c>
      <c r="AC119" s="307" t="s">
        <v>659</v>
      </c>
      <c r="AD119" s="307" t="s">
        <v>660</v>
      </c>
      <c r="AE119" s="327" t="s">
        <v>661</v>
      </c>
      <c r="AF119" s="401" t="s">
        <v>557</v>
      </c>
      <c r="AG119" s="402" t="s">
        <v>558</v>
      </c>
      <c r="AH119" s="402" t="s">
        <v>559</v>
      </c>
      <c r="AI119" s="402" t="s">
        <v>560</v>
      </c>
      <c r="AJ119" s="402" t="s">
        <v>561</v>
      </c>
      <c r="AK119" s="402" t="s">
        <v>562</v>
      </c>
      <c r="AL119" s="402" t="s">
        <v>563</v>
      </c>
      <c r="AM119" s="402" t="s">
        <v>564</v>
      </c>
      <c r="AN119" s="402" t="s">
        <v>565</v>
      </c>
      <c r="AO119" s="402" t="s">
        <v>566</v>
      </c>
      <c r="AP119" s="402" t="s">
        <v>567</v>
      </c>
      <c r="AQ119" s="402" t="s">
        <v>568</v>
      </c>
      <c r="AR119" s="402" t="s">
        <v>569</v>
      </c>
      <c r="AS119" s="402" t="s">
        <v>570</v>
      </c>
    </row>
    <row r="120" spans="1:45" x14ac:dyDescent="0.35">
      <c r="A120" s="129"/>
      <c r="B120" s="250">
        <v>101</v>
      </c>
      <c r="C120" s="291" t="s">
        <v>167</v>
      </c>
      <c r="D120" s="120">
        <f>SUMIFS(ACOAETME2021[[#All],[Member Months]], ACOAETME2021[[#All],[Insurance Category Code]], $E$118, ACOAETME2021[[#All],[ACO/AE or Insurer Overall Organization ID]], ValbyACO_ICC5[[#This Row],[Org ID]])</f>
        <v>0</v>
      </c>
      <c r="E120" s="268" t="str">
        <f>IFERROR(IF(ValbyACO_ICC5[[#This Row],[2021 Member Months]]=0,"NA",SUMIFS(ACOAETME2021[[#All],[Claims: Hospital Inpatient]], ACOAETME2021[[#All],[Insurance Category Code]], $E$118, ACOAETME2021[[#All],[ACO/AE or Insurer Overall Organization ID]], ValbyACO_ICC5[[#This Row],[Org ID]])/ValbyACO_ICC5[[#This Row],[2021 Member Months]]), "NA")</f>
        <v>NA</v>
      </c>
      <c r="F120" s="419" t="str">
        <f>IFERROR(IF(ValbyACO_ICC5[[#This Row],[2021 Member Months]]=0,"NA",SUMIFS(ACOAETME2021[[#All],[Claims: Hospital Outpatient]], ACOAETME2021[[#All],[Insurance Category Code]], $E$118, ACOAETME2021[[#All],[ACO/AE or Insurer Overall Organization ID]], ValbyACO_ICC5[[#This Row],[Org ID]])/ValbyACO_ICC5[[#This Row],[2021 Member Months]]), "NA")</f>
        <v>NA</v>
      </c>
      <c r="G120" s="341" t="str">
        <f>IFERROR(IF(ValbyACO_ICC5[[#This Row],[2021 Member Months]]=0,"NA",SUMIFS(ACOAETME2021[[#All],[Claims: Professional, Primary Care]], ACOAETME2021[[#All],[Insurance Category Code]], $E$118, ACOAETME2021[[#All],[ACO/AE or Insurer Overall Organization ID]], ValbyACO_ICC5[[#This Row],[Org ID]])/ValbyACO_ICC5[[#This Row],[2021 Member Months]]), "NA")</f>
        <v>NA</v>
      </c>
      <c r="H120" s="341" t="str">
        <f>IFERROR(IF(ValbyACO_ICC5[[#This Row],[2021 Member Months]]=0,"NA",SUMIFS(ACOAETME2021[[#All],[Claims: Professional, Specialty Care]], ACOAETME2021[[#All],[Insurance Category Code]], $E$118, ACOAETME2021[[#All],[ACO/AE or Insurer Overall Organization ID]], ValbyACO_ICC5[[#This Row],[Org ID]])/ValbyACO_ICC5[[#This Row],[2021 Member Months]]), "NA")</f>
        <v>NA</v>
      </c>
      <c r="I120" s="341" t="str">
        <f>IFERROR(IF(ValbyACO_ICC5[[#This Row],[2021 Member Months]]=0,"NA",SUMIFS(ACOAETME2021[[#All],[Claims: Professional Other]], ACOAETME2021[[#All],[Insurance Category Code]], $E$118, ACOAETME2021[[#All],[ACO/AE or Insurer Overall Organization ID]], ValbyACO_ICC5[[#This Row],[Org ID]])/ValbyACO_ICC5[[#This Row],[2021 Member Months]]), "NA")</f>
        <v>NA</v>
      </c>
      <c r="J120" s="341" t="str">
        <f>IFERROR(IF(ValbyACO_ICC5[[#This Row],[2021 Member Months]]=0,"NA",SUMIFS(ACOAETME2021[[#All],[Claims: Pharmacy]], ACOAETME2021[[#All],[Insurance Category Code]], $E$118, ACOAETME2021[[#All],[ACO/AE or Insurer Overall Organization ID]], ValbyACO_ICC5[[#This Row],[Org ID]])/ValbyACO_ICC5[[#This Row],[2021 Member Months]]), "NA")</f>
        <v>NA</v>
      </c>
      <c r="K120" s="341" t="str">
        <f>IFERROR(IF(ValbyACO_ICC5[[#This Row],[2021 Member Months]]=0,"NA",SUMIFS(ACOAETME2021[[#All],[Claims: Long-Term Care]], ACOAETME2021[[#All],[Insurance Category Code]], $E$118, ACOAETME2021[[#All],[ACO/AE or Insurer Overall Organization ID]], ValbyACO_ICC5[[#This Row],[Org ID]])/ValbyACO_ICC5[[#This Row],[2021 Member Months]]), "NA")</f>
        <v>NA</v>
      </c>
      <c r="L120" s="341" t="str">
        <f>IFERROR(IF(ValbyACO_ICC5[[#This Row],[2021 Member Months]]=0,"NA",SUMIFS(ACOAETME2021[[#All],[Claims: Other]], ACOAETME2021[[#All],[Insurance Category Code]], $E$118, ACOAETME2021[[#All],[ACO/AE or Insurer Overall Organization ID]], ValbyACO_ICC5[[#This Row],[Org ID]])/ValbyACO_ICC5[[#This Row],[2021 Member Months]]), "NA")</f>
        <v>NA</v>
      </c>
      <c r="M120" s="130" t="str">
        <f>IF(ValbyACO_ICC5[[#This Row],[2021 Member Months]]=0,"NA",SUMIFS(ACOAETME2021[[#All],[TOTAL Non-Truncated Unadjusted Claims Expenses]], ACOAETME2021[[#All],[Insurance Category Code]], $E$118, ACOAETME2021[[#All],[ACO/AE or Insurer Overall Organization ID]], ValbyACO_ICC5[[#This Row],[Org ID]])/ValbyACO_ICC5[[#This Row],[2021 Member Months]])</f>
        <v>NA</v>
      </c>
      <c r="N120" s="130" t="str">
        <f>IF(ValbyACO_ICC5[[#This Row],[2021 Member Months]]=0,"NA",SUMIFS(ACOAETME2021[[#All],[TOTAL Truncated Unadjusted Claims Expenses (A19 - A17)]], ACOAETME2021[[#All],[Insurance Category Code]], $E$118, ACOAETME2021[[#All],[ACO/AE or Insurer Overall Organization ID]], ValbyACO_ICC5[[#This Row],[Org ID]])/ValbyACO_ICC5[[#This Row],[2021 Member Months]])</f>
        <v>NA</v>
      </c>
      <c r="O120" s="130" t="str">
        <f>IF(ValbyACO_ICC5[[#This Row],[2021 Member Months]]=0,"NA",SUMIFS(ACOAETME2021[[#All],[TOTAL Non-Claims Expenses]], ACOAETME2021[[#All],[Insurance Category Code]], $E$118, ACOAETME2021[[#All],[ACO/AE or Insurer Overall Organization ID]], ValbyACO_ICC5[[#This Row],[Org ID]])/ValbyACO_ICC5[[#This Row],[2021 Member Months]])</f>
        <v>NA</v>
      </c>
      <c r="P120" s="341" t="str">
        <f>IF(ValbyACO_ICC5[[#This Row],[2021 Member Months]]=0, "NA", SUMIFS(ACOAETME2021[[#All],[TOTAL Non-Truncated Unadjusted Expenses 
(A19+A21)]], ACOAETME2021[[#All],[Insurance Category Code]], $E$118, ACOAETME2021[[#All],[ACO/AE or Insurer Overall Organization ID]], ValbyACO_ICC5[[#This Row],[Org ID]])/ValbyACO_ICC5[[#This Row],[2021 Member Months]])</f>
        <v>NA</v>
      </c>
      <c r="Q120" s="409" t="str">
        <f>IF(ValbyACO_ICC5[[#This Row],[2021 Member Months]]=0, "NA", SUMIFS(ACOAETME2021[[#All],[TOTAL Truncated Unadjusted Expenses (A20+A21)]], ACOAETME2021[[#All],[Insurance Category Code]], $E$118, ACOAETME2021[[#All],[ACO/AE or Insurer Overall Organization ID]], ValbyACO_ICC5[[#This Row],[Org ID]])/ValbyACO_ICC5[[#This Row],[2021 Member Months]])</f>
        <v>NA</v>
      </c>
      <c r="R120" s="304">
        <f>SUMIFS(ACOAETME2022[[#All],[Member Months]],ACOAETME2022[[#All],[Insurance Category Code]], $E$118,ACOAETME2022[[#All],[ACO/AE or Insurer Overall Organization ID]],ValbyACO_ICC5[[#This Row],[Org ID]])</f>
        <v>0</v>
      </c>
      <c r="S120" s="118" t="str">
        <f>IF(ValbyACO_ICC5[[#This Row],[2022 Member Months]]=0,"NA",SUMIFS(ACOAETME2022[[#All],[Claims: Hospital Inpatient]],ACOAETME2022[[#All],[Insurance Category Code]], $E$118,ACOAETME2022[[#All],[ACO/AE or Insurer Overall Organization ID]],ValbyACO_ICC5[[#This Row],[Org ID]])/ValbyACO_ICC5[[#This Row],[2022 Member Months]])</f>
        <v>NA</v>
      </c>
      <c r="T120" s="99" t="str">
        <f>IF(ValbyACO_ICC5[[#This Row],[2022 Member Months]]=0,"NA",SUMIFS(ACOAETME2022[[#All],[Claims: Hospital Outpatient]],ACOAETME2022[[#All],[Insurance Category Code]], $E$118,ACOAETME2022[[#All],[ACO/AE or Insurer Overall Organization ID]],ValbyACO_ICC5[[#This Row],[Org ID]])/ValbyACO_ICC5[[#This Row],[2022 Member Months]])</f>
        <v>NA</v>
      </c>
      <c r="U120" s="88" t="str">
        <f>IF(ValbyACO_ICC5[[#This Row],[2022 Member Months]]=0,"NA",SUMIFS(ACOAETME2022[[#All],[Claims: Professional, Primary Care]],ACOAETME2022[[#All],[Insurance Category Code]], $E$118,ACOAETME2022[[#All],[ACO/AE or Insurer Overall Organization ID]],ValbyACO_ICC5[[#This Row],[Org ID]])/ValbyACO_ICC5[[#This Row],[2022 Member Months]])</f>
        <v>NA</v>
      </c>
      <c r="V120" s="88" t="str">
        <f>IF(ValbyACO_ICC5[[#This Row],[2022 Member Months]]=0,"NA",SUMIFS(ACOAETME2022[[#All],[Claims: Professional, Specialty Care]],ACOAETME2022[[#All],[Insurance Category Code]], $E$118,ACOAETME2022[[#All],[ACO/AE or Insurer Overall Organization ID]],ValbyACO_ICC5[[#This Row],[Org ID]])/ValbyACO_ICC5[[#This Row],[2022 Member Months]])</f>
        <v>NA</v>
      </c>
      <c r="W120" s="88" t="str">
        <f>IF(ValbyACO_ICC5[[#This Row],[2022 Member Months]]=0,"NA",SUMIFS(ACOAETME2022[[#All],[Claims: Professional Other]],ACOAETME2022[[#All],[Insurance Category Code]], $E$118,ACOAETME2022[[#All],[ACO/AE or Insurer Overall Organization ID]],ValbyACO_ICC5[[#This Row],[Org ID]])/ValbyACO_ICC5[[#This Row],[2022 Member Months]])</f>
        <v>NA</v>
      </c>
      <c r="X120" s="88" t="str">
        <f>IF(ValbyACO_ICC5[[#This Row],[2022 Member Months]]=0,"NA",SUMIFS(ACOAETME2022[[#All],[Claims: Pharmacy]],ACOAETME2022[[#All],[Insurance Category Code]], $E$118,ACOAETME2022[[#All],[ACO/AE or Insurer Overall Organization ID]],ValbyACO_ICC5[[#This Row],[Org ID]])/ValbyACO_ICC5[[#This Row],[2022 Member Months]])</f>
        <v>NA</v>
      </c>
      <c r="Y120" s="88" t="str">
        <f>IF(ValbyACO_ICC5[[#This Row],[2022 Member Months]]=0,"NA",SUMIFS(ACOAETME2022[[#All],[Claims: Long-Term Care]],ACOAETME2022[[#All],[Insurance Category Code]], $E$118,ACOAETME2022[[#All],[ACO/AE or Insurer Overall Organization ID]],ValbyACO_ICC5[[#This Row],[Org ID]])/ValbyACO_ICC5[[#This Row],[2022 Member Months]])</f>
        <v>NA</v>
      </c>
      <c r="Z120" s="88" t="str">
        <f>IF(ValbyACO_ICC5[[#This Row],[2022 Member Months]]=0,"NA",SUMIFS(ACOAETME2022[[#All],[Claims: Other]],ACOAETME2022[[#All],[Insurance Category Code]], $E$118,ACOAETME2022[[#All],[ACO/AE or Insurer Overall Organization ID]],ValbyACO_ICC5[[#This Row],[Org ID]])/ValbyACO_ICC5[[#This Row],[2022 Member Months]])</f>
        <v>NA</v>
      </c>
      <c r="AA120" s="130" t="str">
        <f>IF(ValbyACO_ICC5[[#This Row],[2022 Member Months]]=0,"NA",SUMIFS(ACOAETME2022[[#All],[TOTAL Non-Truncated Unadjusted Claims Expenses]],ACOAETME2022[[#All],[Insurance Category Code]], $E$118,ACOAETME2022[[#All],[ACO/AE or Insurer Overall Organization ID]],ValbyACO_ICC5[[#This Row],[Org ID]])/ValbyACO_ICC5[[#This Row],[2022 Member Months]])</f>
        <v>NA</v>
      </c>
      <c r="AB120" s="130" t="str">
        <f>IF(ValbyACO_ICC5[[#This Row],[2022 Member Months]]=0,"NA",SUMIFS(ACOAETME2022[[#All],[TOTAL Truncated Unadjusted Expenses (A20+A21)]],ACOAETME2022[[#All],[Insurance Category Code]], $E$118,ACOAETME2022[[#All],[ACO/AE or Insurer Overall Organization ID]],ValbyACO_ICC5[[#This Row],[Org ID]])/ValbyACO_ICC5[[#This Row],[2022 Member Months]])</f>
        <v>NA</v>
      </c>
      <c r="AC120" s="130" t="str">
        <f>IF(ValbyACO_ICC5[[#This Row],[2022 Member Months]]=0,"NA",SUMIFS(ACOAETME2022[[#All],[TOTAL Non-Claims Expenses]],ACOAETME2022[[#All],[Insurance Category Code]], $E$118,ACOAETME2022[[#All],[ACO/AE or Insurer Overall Organization ID]],ValbyACO_ICC5[[#This Row],[Org ID]])/ValbyACO_ICC5[[#This Row],[2022 Member Months]])</f>
        <v>NA</v>
      </c>
      <c r="AD120" s="288" t="str">
        <f>IF(ValbyACO_ICC5[[#This Row],[2022 Member Months]]=0,"NA",SUMIFS(ACOAETME2022[[#All],[TOTAL Non-Truncated Unadjusted Expenses 
(A19+A21)]],ACOAETME2022[[#All],[Insurance Category Code]], $E$118,ACOAETME2022[[#All],[ACO/AE or Insurer Overall Organization ID]],ValbyACO_ICC5[[#This Row],[Org ID]])/ValbyACO_ICC5[[#This Row],[2022 Member Months]])</f>
        <v>NA</v>
      </c>
      <c r="AE120" s="119" t="str">
        <f>IF(ValbyACO_ICC5[[#This Row],[2022 Member Months]]=0,"NA",SUMIFS(ACOAETME2022[[#All],[TOTAL Truncated Unadjusted Expenses (A20+A21)]],ACOAETME2022[[#All],[Insurance Category Code]],$E$118,ACOAETME2022[[#All],[ACO/AE or Insurer Overall Organization ID]],ValbyACO_ICC5[[#This Row],[Org ID]])/ValbyACO_ICC5[[#This Row],[2022 Member Months]])</f>
        <v>NA</v>
      </c>
      <c r="AF120" s="161" t="str">
        <f>IFERROR(IF(ValbyACO_ICC5[[#This Row],[2021 Member Months]]=0,"NA",ValbyACO_ICC5[[#This Row],[2022 Member Months]]/ValbyACO_ICC5[[#This Row],[2021 Member Months]]-1),"NA")</f>
        <v>NA</v>
      </c>
      <c r="AG120" s="161" t="str">
        <f>IFERROR(IF(ValbyACO_ICC5[[#This Row],[2021 Member Months]]=0,"NA",ValbyACO_ICC5[[#This Row],[2022 Claims: Hospital Inpatient]]/ValbyACO_ICC5[[#This Row],[2021 Claims: Hospital Inpatient]]-1),"NA")</f>
        <v>NA</v>
      </c>
      <c r="AH120" s="162" t="str">
        <f>IFERROR(IF(ValbyACO_ICC5[[#This Row],[2021 Member Months]]=0,"NA",ValbyACO_ICC5[[#This Row],[2022 Claims: Hospital Outpatient]]/ValbyACO_ICC5[[#This Row],[2021 Claims: Hospital Outpatient]]-1),"NA")</f>
        <v>NA</v>
      </c>
      <c r="AI120" s="162" t="str">
        <f>IFERROR(IF(ValbyACO_ICC5[[#This Row],[2021 Member Months]]=0,"NA",ValbyACO_ICC5[[#This Row],[2022 Claims: Professional, Primary Care]]/ValbyACO_ICC5[[#This Row],[2021 Claims: Professional, Primary Care]]-1),"NA")</f>
        <v>NA</v>
      </c>
      <c r="AJ120" s="162" t="str">
        <f>IFERROR(IF(ValbyACO_ICC5[[#This Row],[2021 Member Months]]=0,"NA",ValbyACO_ICC5[[#This Row],[2022 Claims: Professional, Specialty Care]]/ValbyACO_ICC5[[#This Row],[2021 Claims: Professional, Specialty Care]]-1),"NA")</f>
        <v>NA</v>
      </c>
      <c r="AK120" s="162" t="str">
        <f>IFERROR(IF(ValbyACO_ICC5[[#This Row],[2021 Member Months]]=0,"NA", ValbyACO_ICC5[[#This Row],[2022 Claims: Professional Other]]/ValbyACO_ICC5[[#This Row],[2021 Claims: Professional Other]]-1),"NA")</f>
        <v>NA</v>
      </c>
      <c r="AL120" s="162" t="str">
        <f>IFERROR(IF(ValbyACO_ICC5[[#This Row],[2021 Member Months]]=0,"NA",ValbyACO_ICC5[[#This Row],[2022 Claims: Pharmacy (Gross of Retail Pharmacy Rebates)]]/ValbyACO_ICC5[[#This Row],[2021 Claims: Pharmacy (Gross of  Rebates)]]-1),"NA")</f>
        <v>NA</v>
      </c>
      <c r="AM120" s="162" t="str">
        <f>IFERROR(IF(ValbyACO_ICC5[[#This Row],[2021 Member Months]]=0,"NA",ValbyACO_ICC5[[#This Row],[2022 Claims: Long-term Care]]/ValbyACO_ICC5[[#This Row],[2021 Claims: Long-term Care]]-1),"NA")</f>
        <v>NA</v>
      </c>
      <c r="AN120" s="162" t="str">
        <f>IFERROR(IF(ValbyACO_ICC5[[#This Row],[2021 Member Months]]=0,"NA",ValbyACO_ICC5[[#This Row],[2022 Claims: Other]]/ValbyACO_ICC5[[#This Row],[2021 Claims: Other]]-1),"NA")</f>
        <v>NA</v>
      </c>
      <c r="AO120" s="163" t="str">
        <f>IFERROR(IF(ValbyACO_ICC5[[#This Row],[2021 Member Months]]=0,"NA",ValbyACO_ICC5[[#This Row],[2022 TOTAL Non-Truncated Claims Expenses]]/ValbyACO_ICC5[[#This Row],[2021 TOTAL Non-Truncated Claims Expenses]]-1),"NA")</f>
        <v>NA</v>
      </c>
      <c r="AP120" s="163" t="str">
        <f>IFERROR(IF(ValbyACO_ICC5[[#This Row],[2021 Member Months]]=0,"NA",ValbyACO_ICC5[[#This Row],[2022 TOTAL Truncated Claims Expenses]]/ValbyACO_ICC5[[#This Row],[2021 TOTAL Truncated Claims Expenses]]-1),"NA")</f>
        <v>NA</v>
      </c>
      <c r="AQ120" s="163" t="str">
        <f>IFERROR(IF(ValbyACO_ICC5[[#This Row],[2021 Member Months]]=0,"NA",ValbyACO_ICC5[[#This Row],[2022 TOTAL Non-Claims Expenses]]/ValbyACO_ICC5[[#This Row],[2021 TOTAL Non-Claims Expenses]]-1),"NA")</f>
        <v>NA</v>
      </c>
      <c r="AR120" s="163" t="str">
        <f>IFERROR(IF(ValbyACO_ICC5[[#This Row],[2021 Member Months]]=0,"NA",ValbyACO_ICC5[[#This Row],[2022 TOTAL Non-Truncated Total Expenses]]/ValbyACO_ICC5[[#This Row],[2021 TOTAL Non-Truncated Total Expenses]]-1),"NA")</f>
        <v>NA</v>
      </c>
      <c r="AS120" s="163" t="str">
        <f>IFERROR(IF(ValbyACO_ICC5[[#This Row],[2021 Member Months]]=0,"NA",ValbyACO_ICC5[[#This Row],[2022 TOTAL Truncated Total Expenses]]/ValbyACO_ICC5[[#This Row],[2021 TOTAL Truncated Total Expenses]]-1),"NA")</f>
        <v>NA</v>
      </c>
    </row>
    <row r="121" spans="1:45" x14ac:dyDescent="0.35">
      <c r="A121" s="129"/>
      <c r="B121" s="250">
        <v>102</v>
      </c>
      <c r="C121" s="291" t="s">
        <v>190</v>
      </c>
      <c r="D121" s="120">
        <f>SUMIFS(ACOAETME2021[[#All],[Member Months]], ACOAETME2021[[#All],[Insurance Category Code]], $E$118, ACOAETME2021[[#All],[ACO/AE or Insurer Overall Organization ID]], ValbyACO_ICC5[[#This Row],[Org ID]])</f>
        <v>0</v>
      </c>
      <c r="E121" s="268" t="str">
        <f>IFERROR(IF(ValbyACO_ICC5[[#This Row],[2021 Member Months]]=0,"NA",SUMIFS(ACOAETME2021[[#All],[Claims: Hospital Inpatient]], ACOAETME2021[[#All],[Insurance Category Code]], $E$118, ACOAETME2021[[#All],[ACO/AE or Insurer Overall Organization ID]], ValbyACO_ICC5[[#This Row],[Org ID]])/ValbyACO_ICC5[[#This Row],[2021 Member Months]]), "NA")</f>
        <v>NA</v>
      </c>
      <c r="F121" s="419" t="str">
        <f>IFERROR(IF(ValbyACO_ICC5[[#This Row],[2021 Member Months]]=0,"NA",SUMIFS(ACOAETME2021[[#All],[Claims: Hospital Outpatient]], ACOAETME2021[[#All],[Insurance Category Code]], $E$118, ACOAETME2021[[#All],[ACO/AE or Insurer Overall Organization ID]], ValbyACO_ICC5[[#This Row],[Org ID]])/ValbyACO_ICC5[[#This Row],[2021 Member Months]]), "NA")</f>
        <v>NA</v>
      </c>
      <c r="G121" s="341" t="str">
        <f>IFERROR(IF(ValbyACO_ICC5[[#This Row],[2021 Member Months]]=0,"NA",SUMIFS(ACOAETME2021[[#All],[Claims: Professional, Primary Care]], ACOAETME2021[[#All],[Insurance Category Code]], $E$118, ACOAETME2021[[#All],[ACO/AE or Insurer Overall Organization ID]], ValbyACO_ICC5[[#This Row],[Org ID]])/ValbyACO_ICC5[[#This Row],[2021 Member Months]]), "NA")</f>
        <v>NA</v>
      </c>
      <c r="H121" s="341" t="str">
        <f>IFERROR(IF(ValbyACO_ICC5[[#This Row],[2021 Member Months]]=0,"NA",SUMIFS(ACOAETME2021[[#All],[Claims: Professional, Specialty Care]], ACOAETME2021[[#All],[Insurance Category Code]], $E$118, ACOAETME2021[[#All],[ACO/AE or Insurer Overall Organization ID]], ValbyACO_ICC5[[#This Row],[Org ID]])/ValbyACO_ICC5[[#This Row],[2021 Member Months]]), "NA")</f>
        <v>NA</v>
      </c>
      <c r="I121" s="341" t="str">
        <f>IFERROR(IF(ValbyACO_ICC5[[#This Row],[2021 Member Months]]=0,"NA",SUMIFS(ACOAETME2021[[#All],[Claims: Professional Other]], ACOAETME2021[[#All],[Insurance Category Code]], $E$118, ACOAETME2021[[#All],[ACO/AE or Insurer Overall Organization ID]], ValbyACO_ICC5[[#This Row],[Org ID]])/ValbyACO_ICC5[[#This Row],[2021 Member Months]]), "NA")</f>
        <v>NA</v>
      </c>
      <c r="J121" s="341" t="str">
        <f>IFERROR(IF(ValbyACO_ICC5[[#This Row],[2021 Member Months]]=0,"NA",SUMIFS(ACOAETME2021[[#All],[Claims: Pharmacy]], ACOAETME2021[[#All],[Insurance Category Code]], $E$118, ACOAETME2021[[#All],[ACO/AE or Insurer Overall Organization ID]], ValbyACO_ICC5[[#This Row],[Org ID]])/ValbyACO_ICC5[[#This Row],[2021 Member Months]]), "NA")</f>
        <v>NA</v>
      </c>
      <c r="K121" s="341" t="str">
        <f>IFERROR(IF(ValbyACO_ICC5[[#This Row],[2021 Member Months]]=0,"NA",SUMIFS(ACOAETME2021[[#All],[Claims: Long-Term Care]], ACOAETME2021[[#All],[Insurance Category Code]], $E$118, ACOAETME2021[[#All],[ACO/AE or Insurer Overall Organization ID]], ValbyACO_ICC5[[#This Row],[Org ID]])/ValbyACO_ICC5[[#This Row],[2021 Member Months]]), "NA")</f>
        <v>NA</v>
      </c>
      <c r="L121" s="341" t="str">
        <f>IFERROR(IF(ValbyACO_ICC5[[#This Row],[2021 Member Months]]=0,"NA",SUMIFS(ACOAETME2021[[#All],[Claims: Other]], ACOAETME2021[[#All],[Insurance Category Code]], $E$118, ACOAETME2021[[#All],[ACO/AE or Insurer Overall Organization ID]], ValbyACO_ICC5[[#This Row],[Org ID]])/ValbyACO_ICC5[[#This Row],[2021 Member Months]]), "NA")</f>
        <v>NA</v>
      </c>
      <c r="M121" s="130" t="str">
        <f>IF(ValbyACO_ICC5[[#This Row],[2021 Member Months]]=0,"NA",SUMIFS(ACOAETME2021[[#All],[TOTAL Non-Truncated Unadjusted Claims Expenses]], ACOAETME2021[[#All],[Insurance Category Code]], $E$118, ACOAETME2021[[#All],[ACO/AE or Insurer Overall Organization ID]], ValbyACO_ICC5[[#This Row],[Org ID]])/ValbyACO_ICC5[[#This Row],[2021 Member Months]])</f>
        <v>NA</v>
      </c>
      <c r="N121" s="130" t="str">
        <f>IF(ValbyACO_ICC5[[#This Row],[2021 Member Months]]=0,"NA",SUMIFS(ACOAETME2021[[#All],[TOTAL Truncated Unadjusted Claims Expenses (A19 - A17)]], ACOAETME2021[[#All],[Insurance Category Code]], $E$118, ACOAETME2021[[#All],[ACO/AE or Insurer Overall Organization ID]], ValbyACO_ICC5[[#This Row],[Org ID]])/ValbyACO_ICC5[[#This Row],[2021 Member Months]])</f>
        <v>NA</v>
      </c>
      <c r="O121" s="130" t="str">
        <f>IF(ValbyACO_ICC5[[#This Row],[2021 Member Months]]=0,"NA",SUMIFS(ACOAETME2021[[#All],[TOTAL Non-Claims Expenses]], ACOAETME2021[[#All],[Insurance Category Code]], $E$118, ACOAETME2021[[#All],[ACO/AE or Insurer Overall Organization ID]], ValbyACO_ICC5[[#This Row],[Org ID]])/ValbyACO_ICC5[[#This Row],[2021 Member Months]])</f>
        <v>NA</v>
      </c>
      <c r="P121" s="341" t="str">
        <f>IF(ValbyACO_ICC5[[#This Row],[2021 Member Months]]=0, "NA", SUMIFS(ACOAETME2021[[#All],[TOTAL Non-Truncated Unadjusted Expenses 
(A19+A21)]], ACOAETME2021[[#All],[Insurance Category Code]], $E$118, ACOAETME2021[[#All],[ACO/AE or Insurer Overall Organization ID]], ValbyACO_ICC5[[#This Row],[Org ID]])/ValbyACO_ICC5[[#This Row],[2021 Member Months]])</f>
        <v>NA</v>
      </c>
      <c r="Q121" s="409" t="str">
        <f>IF(ValbyACO_ICC5[[#This Row],[2021 Member Months]]=0, "NA", SUMIFS(ACOAETME2021[[#All],[TOTAL Truncated Unadjusted Expenses (A20+A21)]], ACOAETME2021[[#All],[Insurance Category Code]], $E$118, ACOAETME2021[[#All],[ACO/AE or Insurer Overall Organization ID]], ValbyACO_ICC5[[#This Row],[Org ID]])/ValbyACO_ICC5[[#This Row],[2021 Member Months]])</f>
        <v>NA</v>
      </c>
      <c r="R121" s="304">
        <f>SUMIFS(ACOAETME2022[[#All],[Member Months]],ACOAETME2022[[#All],[Insurance Category Code]], $E$118,ACOAETME2022[[#All],[ACO/AE or Insurer Overall Organization ID]],ValbyACO_ICC5[[#This Row],[Org ID]])</f>
        <v>0</v>
      </c>
      <c r="S121" s="118" t="str">
        <f>IF(ValbyACO_ICC5[[#This Row],[2022 Member Months]]=0,"NA",SUMIFS(ACOAETME2022[[#All],[Claims: Hospital Inpatient]],ACOAETME2022[[#All],[Insurance Category Code]], $E$118,ACOAETME2022[[#All],[ACO/AE or Insurer Overall Organization ID]],ValbyACO_ICC5[[#This Row],[Org ID]])/ValbyACO_ICC5[[#This Row],[2022 Member Months]])</f>
        <v>NA</v>
      </c>
      <c r="T121" s="99" t="str">
        <f>IF(ValbyACO_ICC5[[#This Row],[2022 Member Months]]=0,"NA",SUMIFS(ACOAETME2022[[#All],[Claims: Hospital Outpatient]],ACOAETME2022[[#All],[Insurance Category Code]], $E$118,ACOAETME2022[[#All],[ACO/AE or Insurer Overall Organization ID]],ValbyACO_ICC5[[#This Row],[Org ID]])/ValbyACO_ICC5[[#This Row],[2022 Member Months]])</f>
        <v>NA</v>
      </c>
      <c r="U121" s="88" t="str">
        <f>IF(ValbyACO_ICC5[[#This Row],[2022 Member Months]]=0,"NA",SUMIFS(ACOAETME2022[[#All],[Claims: Professional, Primary Care]],ACOAETME2022[[#All],[Insurance Category Code]], $E$118,ACOAETME2022[[#All],[ACO/AE or Insurer Overall Organization ID]],ValbyACO_ICC5[[#This Row],[Org ID]])/ValbyACO_ICC5[[#This Row],[2022 Member Months]])</f>
        <v>NA</v>
      </c>
      <c r="V121" s="88" t="str">
        <f>IF(ValbyACO_ICC5[[#This Row],[2022 Member Months]]=0,"NA",SUMIFS(ACOAETME2022[[#All],[Claims: Professional, Specialty Care]],ACOAETME2022[[#All],[Insurance Category Code]], $E$118,ACOAETME2022[[#All],[ACO/AE or Insurer Overall Organization ID]],ValbyACO_ICC5[[#This Row],[Org ID]])/ValbyACO_ICC5[[#This Row],[2022 Member Months]])</f>
        <v>NA</v>
      </c>
      <c r="W121" s="88" t="str">
        <f>IF(ValbyACO_ICC5[[#This Row],[2022 Member Months]]=0,"NA",SUMIFS(ACOAETME2022[[#All],[Claims: Professional Other]],ACOAETME2022[[#All],[Insurance Category Code]], $E$118,ACOAETME2022[[#All],[ACO/AE or Insurer Overall Organization ID]],ValbyACO_ICC5[[#This Row],[Org ID]])/ValbyACO_ICC5[[#This Row],[2022 Member Months]])</f>
        <v>NA</v>
      </c>
      <c r="X121" s="88" t="str">
        <f>IF(ValbyACO_ICC5[[#This Row],[2022 Member Months]]=0,"NA",SUMIFS(ACOAETME2022[[#All],[Claims: Pharmacy]],ACOAETME2022[[#All],[Insurance Category Code]], $E$118,ACOAETME2022[[#All],[ACO/AE or Insurer Overall Organization ID]],ValbyACO_ICC5[[#This Row],[Org ID]])/ValbyACO_ICC5[[#This Row],[2022 Member Months]])</f>
        <v>NA</v>
      </c>
      <c r="Y121" s="88" t="str">
        <f>IF(ValbyACO_ICC5[[#This Row],[2022 Member Months]]=0,"NA",SUMIFS(ACOAETME2022[[#All],[Claims: Long-Term Care]],ACOAETME2022[[#All],[Insurance Category Code]], $E$118,ACOAETME2022[[#All],[ACO/AE or Insurer Overall Organization ID]],ValbyACO_ICC5[[#This Row],[Org ID]])/ValbyACO_ICC5[[#This Row],[2022 Member Months]])</f>
        <v>NA</v>
      </c>
      <c r="Z121" s="88" t="str">
        <f>IF(ValbyACO_ICC5[[#This Row],[2022 Member Months]]=0,"NA",SUMIFS(ACOAETME2022[[#All],[Claims: Other]],ACOAETME2022[[#All],[Insurance Category Code]], $E$118,ACOAETME2022[[#All],[ACO/AE or Insurer Overall Organization ID]],ValbyACO_ICC5[[#This Row],[Org ID]])/ValbyACO_ICC5[[#This Row],[2022 Member Months]])</f>
        <v>NA</v>
      </c>
      <c r="AA121" s="130" t="str">
        <f>IF(ValbyACO_ICC5[[#This Row],[2022 Member Months]]=0,"NA",SUMIFS(ACOAETME2022[[#All],[TOTAL Non-Truncated Unadjusted Claims Expenses]],ACOAETME2022[[#All],[Insurance Category Code]], $E$118,ACOAETME2022[[#All],[ACO/AE or Insurer Overall Organization ID]],ValbyACO_ICC5[[#This Row],[Org ID]])/ValbyACO_ICC5[[#This Row],[2022 Member Months]])</f>
        <v>NA</v>
      </c>
      <c r="AB121" s="130" t="str">
        <f>IF(ValbyACO_ICC5[[#This Row],[2022 Member Months]]=0,"NA",SUMIFS(ACOAETME2022[[#All],[TOTAL Truncated Unadjusted Expenses (A20+A21)]],ACOAETME2022[[#All],[Insurance Category Code]], $E$118,ACOAETME2022[[#All],[ACO/AE or Insurer Overall Organization ID]],ValbyACO_ICC5[[#This Row],[Org ID]])/ValbyACO_ICC5[[#This Row],[2022 Member Months]])</f>
        <v>NA</v>
      </c>
      <c r="AC121" s="130" t="str">
        <f>IF(ValbyACO_ICC5[[#This Row],[2022 Member Months]]=0,"NA",SUMIFS(ACOAETME2022[[#All],[TOTAL Non-Claims Expenses]],ACOAETME2022[[#All],[Insurance Category Code]], $E$118,ACOAETME2022[[#All],[ACO/AE or Insurer Overall Organization ID]],ValbyACO_ICC5[[#This Row],[Org ID]])/ValbyACO_ICC5[[#This Row],[2022 Member Months]])</f>
        <v>NA</v>
      </c>
      <c r="AD121" s="288" t="str">
        <f>IF(ValbyACO_ICC5[[#This Row],[2022 Member Months]]=0,"NA",SUMIFS(ACOAETME2022[[#All],[TOTAL Non-Truncated Unadjusted Expenses 
(A19+A21)]],ACOAETME2022[[#All],[Insurance Category Code]], $E$118,ACOAETME2022[[#All],[ACO/AE or Insurer Overall Organization ID]],ValbyACO_ICC5[[#This Row],[Org ID]])/ValbyACO_ICC5[[#This Row],[2022 Member Months]])</f>
        <v>NA</v>
      </c>
      <c r="AE121" s="119" t="str">
        <f>IF(ValbyACO_ICC5[[#This Row],[2022 Member Months]]=0,"NA",SUMIFS(ACOAETME2022[[#All],[TOTAL Truncated Unadjusted Expenses (A20+A21)]],ACOAETME2022[[#All],[Insurance Category Code]],$E$118,ACOAETME2022[[#All],[ACO/AE or Insurer Overall Organization ID]],ValbyACO_ICC5[[#This Row],[Org ID]])/ValbyACO_ICC5[[#This Row],[2022 Member Months]])</f>
        <v>NA</v>
      </c>
      <c r="AF121" s="161" t="str">
        <f>IFERROR(IF(ValbyACO_ICC5[[#This Row],[2021 Member Months]]=0,"NA",ValbyACO_ICC5[[#This Row],[2022 Member Months]]/ValbyACO_ICC5[[#This Row],[2021 Member Months]]-1),"NA")</f>
        <v>NA</v>
      </c>
      <c r="AG121" s="161" t="str">
        <f>IFERROR(IF(ValbyACO_ICC5[[#This Row],[2021 Member Months]]=0,"NA",ValbyACO_ICC5[[#This Row],[2022 Claims: Hospital Inpatient]]/ValbyACO_ICC5[[#This Row],[2021 Claims: Hospital Inpatient]]-1),"NA")</f>
        <v>NA</v>
      </c>
      <c r="AH121" s="162" t="str">
        <f>IFERROR(IF(ValbyACO_ICC5[[#This Row],[2021 Member Months]]=0,"NA",ValbyACO_ICC5[[#This Row],[2022 Claims: Hospital Outpatient]]/ValbyACO_ICC5[[#This Row],[2021 Claims: Hospital Outpatient]]-1),"NA")</f>
        <v>NA</v>
      </c>
      <c r="AI121" s="162" t="str">
        <f>IFERROR(IF(ValbyACO_ICC5[[#This Row],[2021 Member Months]]=0,"NA",ValbyACO_ICC5[[#This Row],[2022 Claims: Professional, Primary Care]]/ValbyACO_ICC5[[#This Row],[2021 Claims: Professional, Primary Care]]-1),"NA")</f>
        <v>NA</v>
      </c>
      <c r="AJ121" s="162" t="str">
        <f>IFERROR(IF(ValbyACO_ICC5[[#This Row],[2021 Member Months]]=0,"NA",ValbyACO_ICC5[[#This Row],[2022 Claims: Professional, Specialty Care]]/ValbyACO_ICC5[[#This Row],[2021 Claims: Professional, Specialty Care]]-1),"NA")</f>
        <v>NA</v>
      </c>
      <c r="AK121" s="162" t="str">
        <f>IFERROR(IF(ValbyACO_ICC5[[#This Row],[2021 Member Months]]=0,"NA", ValbyACO_ICC5[[#This Row],[2022 Claims: Professional Other]]/ValbyACO_ICC5[[#This Row],[2021 Claims: Professional Other]]-1),"NA")</f>
        <v>NA</v>
      </c>
      <c r="AL121" s="162" t="str">
        <f>IFERROR(IF(ValbyACO_ICC5[[#This Row],[2021 Member Months]]=0,"NA",ValbyACO_ICC5[[#This Row],[2022 Claims: Pharmacy (Gross of Retail Pharmacy Rebates)]]/ValbyACO_ICC5[[#This Row],[2021 Claims: Pharmacy (Gross of  Rebates)]]-1),"NA")</f>
        <v>NA</v>
      </c>
      <c r="AM121" s="162" t="str">
        <f>IFERROR(IF(ValbyACO_ICC5[[#This Row],[2021 Member Months]]=0,"NA",ValbyACO_ICC5[[#This Row],[2022 Claims: Long-term Care]]/ValbyACO_ICC5[[#This Row],[2021 Claims: Long-term Care]]-1),"NA")</f>
        <v>NA</v>
      </c>
      <c r="AN121" s="162" t="str">
        <f>IFERROR(IF(ValbyACO_ICC5[[#This Row],[2021 Member Months]]=0,"NA",ValbyACO_ICC5[[#This Row],[2022 Claims: Other]]/ValbyACO_ICC5[[#This Row],[2021 Claims: Other]]-1),"NA")</f>
        <v>NA</v>
      </c>
      <c r="AO121" s="163" t="str">
        <f>IFERROR(IF(ValbyACO_ICC5[[#This Row],[2021 Member Months]]=0,"NA",ValbyACO_ICC5[[#This Row],[2022 TOTAL Non-Truncated Claims Expenses]]/ValbyACO_ICC5[[#This Row],[2021 TOTAL Non-Truncated Claims Expenses]]-1),"NA")</f>
        <v>NA</v>
      </c>
      <c r="AP121" s="163" t="str">
        <f>IFERROR(IF(ValbyACO_ICC5[[#This Row],[2021 Member Months]]=0,"NA",ValbyACO_ICC5[[#This Row],[2022 TOTAL Truncated Claims Expenses]]/ValbyACO_ICC5[[#This Row],[2021 TOTAL Truncated Claims Expenses]]-1),"NA")</f>
        <v>NA</v>
      </c>
      <c r="AQ121" s="163" t="str">
        <f>IFERROR(IF(ValbyACO_ICC5[[#This Row],[2021 Member Months]]=0,"NA",ValbyACO_ICC5[[#This Row],[2022 TOTAL Non-Claims Expenses]]/ValbyACO_ICC5[[#This Row],[2021 TOTAL Non-Claims Expenses]]-1),"NA")</f>
        <v>NA</v>
      </c>
      <c r="AR121" s="163" t="str">
        <f>IFERROR(IF(ValbyACO_ICC5[[#This Row],[2021 Member Months]]=0,"NA",ValbyACO_ICC5[[#This Row],[2022 TOTAL Non-Truncated Total Expenses]]/ValbyACO_ICC5[[#This Row],[2021 TOTAL Non-Truncated Total Expenses]]-1),"NA")</f>
        <v>NA</v>
      </c>
      <c r="AS121" s="163" t="str">
        <f>IFERROR(IF(ValbyACO_ICC5[[#This Row],[2021 Member Months]]=0,"NA",ValbyACO_ICC5[[#This Row],[2022 TOTAL Truncated Total Expenses]]/ValbyACO_ICC5[[#This Row],[2021 TOTAL Truncated Total Expenses]]-1),"NA")</f>
        <v>NA</v>
      </c>
    </row>
    <row r="122" spans="1:45" x14ac:dyDescent="0.35">
      <c r="A122" s="129"/>
      <c r="B122" s="250">
        <v>103</v>
      </c>
      <c r="C122" s="291" t="s">
        <v>168</v>
      </c>
      <c r="D122" s="120">
        <f>SUMIFS(ACOAETME2021[[#All],[Member Months]], ACOAETME2021[[#All],[Insurance Category Code]], $E$118, ACOAETME2021[[#All],[ACO/AE or Insurer Overall Organization ID]], ValbyACO_ICC5[[#This Row],[Org ID]])</f>
        <v>0</v>
      </c>
      <c r="E122" s="268" t="str">
        <f>IFERROR(IF(ValbyACO_ICC5[[#This Row],[2021 Member Months]]=0,"NA",SUMIFS(ACOAETME2021[[#All],[Claims: Hospital Inpatient]], ACOAETME2021[[#All],[Insurance Category Code]], $E$118, ACOAETME2021[[#All],[ACO/AE or Insurer Overall Organization ID]], ValbyACO_ICC5[[#This Row],[Org ID]])/ValbyACO_ICC5[[#This Row],[2021 Member Months]]), "NA")</f>
        <v>NA</v>
      </c>
      <c r="F122" s="419" t="str">
        <f>IFERROR(IF(ValbyACO_ICC5[[#This Row],[2021 Member Months]]=0,"NA",SUMIFS(ACOAETME2021[[#All],[Claims: Hospital Outpatient]], ACOAETME2021[[#All],[Insurance Category Code]], $E$118, ACOAETME2021[[#All],[ACO/AE or Insurer Overall Organization ID]], ValbyACO_ICC5[[#This Row],[Org ID]])/ValbyACO_ICC5[[#This Row],[2021 Member Months]]), "NA")</f>
        <v>NA</v>
      </c>
      <c r="G122" s="341" t="str">
        <f>IFERROR(IF(ValbyACO_ICC5[[#This Row],[2021 Member Months]]=0,"NA",SUMIFS(ACOAETME2021[[#All],[Claims: Professional, Primary Care]], ACOAETME2021[[#All],[Insurance Category Code]], $E$118, ACOAETME2021[[#All],[ACO/AE or Insurer Overall Organization ID]], ValbyACO_ICC5[[#This Row],[Org ID]])/ValbyACO_ICC5[[#This Row],[2021 Member Months]]), "NA")</f>
        <v>NA</v>
      </c>
      <c r="H122" s="341" t="str">
        <f>IFERROR(IF(ValbyACO_ICC5[[#This Row],[2021 Member Months]]=0,"NA",SUMIFS(ACOAETME2021[[#All],[Claims: Professional, Specialty Care]], ACOAETME2021[[#All],[Insurance Category Code]], $E$118, ACOAETME2021[[#All],[ACO/AE or Insurer Overall Organization ID]], ValbyACO_ICC5[[#This Row],[Org ID]])/ValbyACO_ICC5[[#This Row],[2021 Member Months]]), "NA")</f>
        <v>NA</v>
      </c>
      <c r="I122" s="341" t="str">
        <f>IFERROR(IF(ValbyACO_ICC5[[#This Row],[2021 Member Months]]=0,"NA",SUMIFS(ACOAETME2021[[#All],[Claims: Professional Other]], ACOAETME2021[[#All],[Insurance Category Code]], $E$118, ACOAETME2021[[#All],[ACO/AE or Insurer Overall Organization ID]], ValbyACO_ICC5[[#This Row],[Org ID]])/ValbyACO_ICC5[[#This Row],[2021 Member Months]]), "NA")</f>
        <v>NA</v>
      </c>
      <c r="J122" s="341" t="str">
        <f>IFERROR(IF(ValbyACO_ICC5[[#This Row],[2021 Member Months]]=0,"NA",SUMIFS(ACOAETME2021[[#All],[Claims: Pharmacy]], ACOAETME2021[[#All],[Insurance Category Code]], $E$118, ACOAETME2021[[#All],[ACO/AE or Insurer Overall Organization ID]], ValbyACO_ICC5[[#This Row],[Org ID]])/ValbyACO_ICC5[[#This Row],[2021 Member Months]]), "NA")</f>
        <v>NA</v>
      </c>
      <c r="K122" s="341" t="str">
        <f>IFERROR(IF(ValbyACO_ICC5[[#This Row],[2021 Member Months]]=0,"NA",SUMIFS(ACOAETME2021[[#All],[Claims: Long-Term Care]], ACOAETME2021[[#All],[Insurance Category Code]], $E$118, ACOAETME2021[[#All],[ACO/AE or Insurer Overall Organization ID]], ValbyACO_ICC5[[#This Row],[Org ID]])/ValbyACO_ICC5[[#This Row],[2021 Member Months]]), "NA")</f>
        <v>NA</v>
      </c>
      <c r="L122" s="341" t="str">
        <f>IFERROR(IF(ValbyACO_ICC5[[#This Row],[2021 Member Months]]=0,"NA",SUMIFS(ACOAETME2021[[#All],[Claims: Other]], ACOAETME2021[[#All],[Insurance Category Code]], $E$118, ACOAETME2021[[#All],[ACO/AE or Insurer Overall Organization ID]], ValbyACO_ICC5[[#This Row],[Org ID]])/ValbyACO_ICC5[[#This Row],[2021 Member Months]]), "NA")</f>
        <v>NA</v>
      </c>
      <c r="M122" s="130" t="str">
        <f>IF(ValbyACO_ICC5[[#This Row],[2021 Member Months]]=0,"NA",SUMIFS(ACOAETME2021[[#All],[TOTAL Non-Truncated Unadjusted Claims Expenses]], ACOAETME2021[[#All],[Insurance Category Code]], $E$118, ACOAETME2021[[#All],[ACO/AE or Insurer Overall Organization ID]], ValbyACO_ICC5[[#This Row],[Org ID]])/ValbyACO_ICC5[[#This Row],[2021 Member Months]])</f>
        <v>NA</v>
      </c>
      <c r="N122" s="130" t="str">
        <f>IF(ValbyACO_ICC5[[#This Row],[2021 Member Months]]=0,"NA",SUMIFS(ACOAETME2021[[#All],[TOTAL Truncated Unadjusted Claims Expenses (A19 - A17)]], ACOAETME2021[[#All],[Insurance Category Code]], $E$118, ACOAETME2021[[#All],[ACO/AE or Insurer Overall Organization ID]], ValbyACO_ICC5[[#This Row],[Org ID]])/ValbyACO_ICC5[[#This Row],[2021 Member Months]])</f>
        <v>NA</v>
      </c>
      <c r="O122" s="130" t="str">
        <f>IF(ValbyACO_ICC5[[#This Row],[2021 Member Months]]=0,"NA",SUMIFS(ACOAETME2021[[#All],[TOTAL Non-Claims Expenses]], ACOAETME2021[[#All],[Insurance Category Code]], $E$118, ACOAETME2021[[#All],[ACO/AE or Insurer Overall Organization ID]], ValbyACO_ICC5[[#This Row],[Org ID]])/ValbyACO_ICC5[[#This Row],[2021 Member Months]])</f>
        <v>NA</v>
      </c>
      <c r="P122" s="341" t="str">
        <f>IF(ValbyACO_ICC5[[#This Row],[2021 Member Months]]=0, "NA", SUMIFS(ACOAETME2021[[#All],[TOTAL Non-Truncated Unadjusted Expenses 
(A19+A21)]], ACOAETME2021[[#All],[Insurance Category Code]], $E$118, ACOAETME2021[[#All],[ACO/AE or Insurer Overall Organization ID]], ValbyACO_ICC5[[#This Row],[Org ID]])/ValbyACO_ICC5[[#This Row],[2021 Member Months]])</f>
        <v>NA</v>
      </c>
      <c r="Q122" s="409" t="str">
        <f>IF(ValbyACO_ICC5[[#This Row],[2021 Member Months]]=0, "NA", SUMIFS(ACOAETME2021[[#All],[TOTAL Truncated Unadjusted Expenses (A20+A21)]], ACOAETME2021[[#All],[Insurance Category Code]], $E$118, ACOAETME2021[[#All],[ACO/AE or Insurer Overall Organization ID]], ValbyACO_ICC5[[#This Row],[Org ID]])/ValbyACO_ICC5[[#This Row],[2021 Member Months]])</f>
        <v>NA</v>
      </c>
      <c r="R122" s="304">
        <f>SUMIFS(ACOAETME2022[[#All],[Member Months]],ACOAETME2022[[#All],[Insurance Category Code]], $E$118,ACOAETME2022[[#All],[ACO/AE or Insurer Overall Organization ID]],ValbyACO_ICC5[[#This Row],[Org ID]])</f>
        <v>0</v>
      </c>
      <c r="S122" s="118" t="str">
        <f>IF(ValbyACO_ICC5[[#This Row],[2022 Member Months]]=0,"NA",SUMIFS(ACOAETME2022[[#All],[Claims: Hospital Inpatient]],ACOAETME2022[[#All],[Insurance Category Code]], $E$118,ACOAETME2022[[#All],[ACO/AE or Insurer Overall Organization ID]],ValbyACO_ICC5[[#This Row],[Org ID]])/ValbyACO_ICC5[[#This Row],[2022 Member Months]])</f>
        <v>NA</v>
      </c>
      <c r="T122" s="99" t="str">
        <f>IF(ValbyACO_ICC5[[#This Row],[2022 Member Months]]=0,"NA",SUMIFS(ACOAETME2022[[#All],[Claims: Hospital Outpatient]],ACOAETME2022[[#All],[Insurance Category Code]], $E$118,ACOAETME2022[[#All],[ACO/AE or Insurer Overall Organization ID]],ValbyACO_ICC5[[#This Row],[Org ID]])/ValbyACO_ICC5[[#This Row],[2022 Member Months]])</f>
        <v>NA</v>
      </c>
      <c r="U122" s="88" t="str">
        <f>IF(ValbyACO_ICC5[[#This Row],[2022 Member Months]]=0,"NA",SUMIFS(ACOAETME2022[[#All],[Claims: Professional, Primary Care]],ACOAETME2022[[#All],[Insurance Category Code]], $E$118,ACOAETME2022[[#All],[ACO/AE or Insurer Overall Organization ID]],ValbyACO_ICC5[[#This Row],[Org ID]])/ValbyACO_ICC5[[#This Row],[2022 Member Months]])</f>
        <v>NA</v>
      </c>
      <c r="V122" s="88" t="str">
        <f>IF(ValbyACO_ICC5[[#This Row],[2022 Member Months]]=0,"NA",SUMIFS(ACOAETME2022[[#All],[Claims: Professional, Specialty Care]],ACOAETME2022[[#All],[Insurance Category Code]], $E$118,ACOAETME2022[[#All],[ACO/AE or Insurer Overall Organization ID]],ValbyACO_ICC5[[#This Row],[Org ID]])/ValbyACO_ICC5[[#This Row],[2022 Member Months]])</f>
        <v>NA</v>
      </c>
      <c r="W122" s="88" t="str">
        <f>IF(ValbyACO_ICC5[[#This Row],[2022 Member Months]]=0,"NA",SUMIFS(ACOAETME2022[[#All],[Claims: Professional Other]],ACOAETME2022[[#All],[Insurance Category Code]], $E$118,ACOAETME2022[[#All],[ACO/AE or Insurer Overall Organization ID]],ValbyACO_ICC5[[#This Row],[Org ID]])/ValbyACO_ICC5[[#This Row],[2022 Member Months]])</f>
        <v>NA</v>
      </c>
      <c r="X122" s="88" t="str">
        <f>IF(ValbyACO_ICC5[[#This Row],[2022 Member Months]]=0,"NA",SUMIFS(ACOAETME2022[[#All],[Claims: Pharmacy]],ACOAETME2022[[#All],[Insurance Category Code]], $E$118,ACOAETME2022[[#All],[ACO/AE or Insurer Overall Organization ID]],ValbyACO_ICC5[[#This Row],[Org ID]])/ValbyACO_ICC5[[#This Row],[2022 Member Months]])</f>
        <v>NA</v>
      </c>
      <c r="Y122" s="88" t="str">
        <f>IF(ValbyACO_ICC5[[#This Row],[2022 Member Months]]=0,"NA",SUMIFS(ACOAETME2022[[#All],[Claims: Long-Term Care]],ACOAETME2022[[#All],[Insurance Category Code]], $E$118,ACOAETME2022[[#All],[ACO/AE or Insurer Overall Organization ID]],ValbyACO_ICC5[[#This Row],[Org ID]])/ValbyACO_ICC5[[#This Row],[2022 Member Months]])</f>
        <v>NA</v>
      </c>
      <c r="Z122" s="88" t="str">
        <f>IF(ValbyACO_ICC5[[#This Row],[2022 Member Months]]=0,"NA",SUMIFS(ACOAETME2022[[#All],[Claims: Other]],ACOAETME2022[[#All],[Insurance Category Code]], $E$118,ACOAETME2022[[#All],[ACO/AE or Insurer Overall Organization ID]],ValbyACO_ICC5[[#This Row],[Org ID]])/ValbyACO_ICC5[[#This Row],[2022 Member Months]])</f>
        <v>NA</v>
      </c>
      <c r="AA122" s="130" t="str">
        <f>IF(ValbyACO_ICC5[[#This Row],[2022 Member Months]]=0,"NA",SUMIFS(ACOAETME2022[[#All],[TOTAL Non-Truncated Unadjusted Claims Expenses]],ACOAETME2022[[#All],[Insurance Category Code]], $E$118,ACOAETME2022[[#All],[ACO/AE or Insurer Overall Organization ID]],ValbyACO_ICC5[[#This Row],[Org ID]])/ValbyACO_ICC5[[#This Row],[2022 Member Months]])</f>
        <v>NA</v>
      </c>
      <c r="AB122" s="130" t="str">
        <f>IF(ValbyACO_ICC5[[#This Row],[2022 Member Months]]=0,"NA",SUMIFS(ACOAETME2022[[#All],[TOTAL Truncated Unadjusted Expenses (A20+A21)]],ACOAETME2022[[#All],[Insurance Category Code]], $E$118,ACOAETME2022[[#All],[ACO/AE or Insurer Overall Organization ID]],ValbyACO_ICC5[[#This Row],[Org ID]])/ValbyACO_ICC5[[#This Row],[2022 Member Months]])</f>
        <v>NA</v>
      </c>
      <c r="AC122" s="130" t="str">
        <f>IF(ValbyACO_ICC5[[#This Row],[2022 Member Months]]=0,"NA",SUMIFS(ACOAETME2022[[#All],[TOTAL Non-Claims Expenses]],ACOAETME2022[[#All],[Insurance Category Code]], $E$118,ACOAETME2022[[#All],[ACO/AE or Insurer Overall Organization ID]],ValbyACO_ICC5[[#This Row],[Org ID]])/ValbyACO_ICC5[[#This Row],[2022 Member Months]])</f>
        <v>NA</v>
      </c>
      <c r="AD122" s="288" t="str">
        <f>IF(ValbyACO_ICC5[[#This Row],[2022 Member Months]]=0,"NA",SUMIFS(ACOAETME2022[[#All],[TOTAL Non-Truncated Unadjusted Expenses 
(A19+A21)]],ACOAETME2022[[#All],[Insurance Category Code]], $E$118,ACOAETME2022[[#All],[ACO/AE or Insurer Overall Organization ID]],ValbyACO_ICC5[[#This Row],[Org ID]])/ValbyACO_ICC5[[#This Row],[2022 Member Months]])</f>
        <v>NA</v>
      </c>
      <c r="AE122" s="119" t="str">
        <f>IF(ValbyACO_ICC5[[#This Row],[2022 Member Months]]=0,"NA",SUMIFS(ACOAETME2022[[#All],[TOTAL Truncated Unadjusted Expenses (A20+A21)]],ACOAETME2022[[#All],[Insurance Category Code]],$E$118,ACOAETME2022[[#All],[ACO/AE or Insurer Overall Organization ID]],ValbyACO_ICC5[[#This Row],[Org ID]])/ValbyACO_ICC5[[#This Row],[2022 Member Months]])</f>
        <v>NA</v>
      </c>
      <c r="AF122" s="161" t="str">
        <f>IFERROR(IF(ValbyACO_ICC5[[#This Row],[2021 Member Months]]=0,"NA",ValbyACO_ICC5[[#This Row],[2022 Member Months]]/ValbyACO_ICC5[[#This Row],[2021 Member Months]]-1),"NA")</f>
        <v>NA</v>
      </c>
      <c r="AG122" s="161" t="str">
        <f>IFERROR(IF(ValbyACO_ICC5[[#This Row],[2021 Member Months]]=0,"NA",ValbyACO_ICC5[[#This Row],[2022 Claims: Hospital Inpatient]]/ValbyACO_ICC5[[#This Row],[2021 Claims: Hospital Inpatient]]-1),"NA")</f>
        <v>NA</v>
      </c>
      <c r="AH122" s="162" t="str">
        <f>IFERROR(IF(ValbyACO_ICC5[[#This Row],[2021 Member Months]]=0,"NA",ValbyACO_ICC5[[#This Row],[2022 Claims: Hospital Outpatient]]/ValbyACO_ICC5[[#This Row],[2021 Claims: Hospital Outpatient]]-1),"NA")</f>
        <v>NA</v>
      </c>
      <c r="AI122" s="162" t="str">
        <f>IFERROR(IF(ValbyACO_ICC5[[#This Row],[2021 Member Months]]=0,"NA",ValbyACO_ICC5[[#This Row],[2022 Claims: Professional, Primary Care]]/ValbyACO_ICC5[[#This Row],[2021 Claims: Professional, Primary Care]]-1),"NA")</f>
        <v>NA</v>
      </c>
      <c r="AJ122" s="162" t="str">
        <f>IFERROR(IF(ValbyACO_ICC5[[#This Row],[2021 Member Months]]=0,"NA",ValbyACO_ICC5[[#This Row],[2022 Claims: Professional, Specialty Care]]/ValbyACO_ICC5[[#This Row],[2021 Claims: Professional, Specialty Care]]-1),"NA")</f>
        <v>NA</v>
      </c>
      <c r="AK122" s="162" t="str">
        <f>IFERROR(IF(ValbyACO_ICC5[[#This Row],[2021 Member Months]]=0,"NA", ValbyACO_ICC5[[#This Row],[2022 Claims: Professional Other]]/ValbyACO_ICC5[[#This Row],[2021 Claims: Professional Other]]-1),"NA")</f>
        <v>NA</v>
      </c>
      <c r="AL122" s="162" t="str">
        <f>IFERROR(IF(ValbyACO_ICC5[[#This Row],[2021 Member Months]]=0,"NA",ValbyACO_ICC5[[#This Row],[2022 Claims: Pharmacy (Gross of Retail Pharmacy Rebates)]]/ValbyACO_ICC5[[#This Row],[2021 Claims: Pharmacy (Gross of  Rebates)]]-1),"NA")</f>
        <v>NA</v>
      </c>
      <c r="AM122" s="162" t="str">
        <f>IFERROR(IF(ValbyACO_ICC5[[#This Row],[2021 Member Months]]=0,"NA",ValbyACO_ICC5[[#This Row],[2022 Claims: Long-term Care]]/ValbyACO_ICC5[[#This Row],[2021 Claims: Long-term Care]]-1),"NA")</f>
        <v>NA</v>
      </c>
      <c r="AN122" s="162" t="str">
        <f>IFERROR(IF(ValbyACO_ICC5[[#This Row],[2021 Member Months]]=0,"NA",ValbyACO_ICC5[[#This Row],[2022 Claims: Other]]/ValbyACO_ICC5[[#This Row],[2021 Claims: Other]]-1),"NA")</f>
        <v>NA</v>
      </c>
      <c r="AO122" s="163" t="str">
        <f>IFERROR(IF(ValbyACO_ICC5[[#This Row],[2021 Member Months]]=0,"NA",ValbyACO_ICC5[[#This Row],[2022 TOTAL Non-Truncated Claims Expenses]]/ValbyACO_ICC5[[#This Row],[2021 TOTAL Non-Truncated Claims Expenses]]-1),"NA")</f>
        <v>NA</v>
      </c>
      <c r="AP122" s="163" t="str">
        <f>IFERROR(IF(ValbyACO_ICC5[[#This Row],[2021 Member Months]]=0,"NA",ValbyACO_ICC5[[#This Row],[2022 TOTAL Truncated Claims Expenses]]/ValbyACO_ICC5[[#This Row],[2021 TOTAL Truncated Claims Expenses]]-1),"NA")</f>
        <v>NA</v>
      </c>
      <c r="AQ122" s="163" t="str">
        <f>IFERROR(IF(ValbyACO_ICC5[[#This Row],[2021 Member Months]]=0,"NA",ValbyACO_ICC5[[#This Row],[2022 TOTAL Non-Claims Expenses]]/ValbyACO_ICC5[[#This Row],[2021 TOTAL Non-Claims Expenses]]-1),"NA")</f>
        <v>NA</v>
      </c>
      <c r="AR122" s="163" t="str">
        <f>IFERROR(IF(ValbyACO_ICC5[[#This Row],[2021 Member Months]]=0,"NA",ValbyACO_ICC5[[#This Row],[2022 TOTAL Non-Truncated Total Expenses]]/ValbyACO_ICC5[[#This Row],[2021 TOTAL Non-Truncated Total Expenses]]-1),"NA")</f>
        <v>NA</v>
      </c>
      <c r="AS122" s="163" t="str">
        <f>IFERROR(IF(ValbyACO_ICC5[[#This Row],[2021 Member Months]]=0,"NA",ValbyACO_ICC5[[#This Row],[2022 TOTAL Truncated Total Expenses]]/ValbyACO_ICC5[[#This Row],[2021 TOTAL Truncated Total Expenses]]-1),"NA")</f>
        <v>NA</v>
      </c>
    </row>
    <row r="123" spans="1:45" x14ac:dyDescent="0.35">
      <c r="A123" s="129"/>
      <c r="B123" s="250">
        <v>104</v>
      </c>
      <c r="C123" s="291" t="s">
        <v>191</v>
      </c>
      <c r="D123" s="120">
        <f>SUMIFS(ACOAETME2021[[#All],[Member Months]], ACOAETME2021[[#All],[Insurance Category Code]], $E$118, ACOAETME2021[[#All],[ACO/AE or Insurer Overall Organization ID]], ValbyACO_ICC5[[#This Row],[Org ID]])</f>
        <v>0</v>
      </c>
      <c r="E123" s="268" t="str">
        <f>IFERROR(IF(ValbyACO_ICC5[[#This Row],[2021 Member Months]]=0,"NA",SUMIFS(ACOAETME2021[[#All],[Claims: Hospital Inpatient]], ACOAETME2021[[#All],[Insurance Category Code]], $E$118, ACOAETME2021[[#All],[ACO/AE or Insurer Overall Organization ID]], ValbyACO_ICC5[[#This Row],[Org ID]])/ValbyACO_ICC5[[#This Row],[2021 Member Months]]), "NA")</f>
        <v>NA</v>
      </c>
      <c r="F123" s="419" t="str">
        <f>IFERROR(IF(ValbyACO_ICC5[[#This Row],[2021 Member Months]]=0,"NA",SUMIFS(ACOAETME2021[[#All],[Claims: Hospital Outpatient]], ACOAETME2021[[#All],[Insurance Category Code]], $E$118, ACOAETME2021[[#All],[ACO/AE or Insurer Overall Organization ID]], ValbyACO_ICC5[[#This Row],[Org ID]])/ValbyACO_ICC5[[#This Row],[2021 Member Months]]), "NA")</f>
        <v>NA</v>
      </c>
      <c r="G123" s="341" t="str">
        <f>IFERROR(IF(ValbyACO_ICC5[[#This Row],[2021 Member Months]]=0,"NA",SUMIFS(ACOAETME2021[[#All],[Claims: Professional, Primary Care]], ACOAETME2021[[#All],[Insurance Category Code]], $E$118, ACOAETME2021[[#All],[ACO/AE or Insurer Overall Organization ID]], ValbyACO_ICC5[[#This Row],[Org ID]])/ValbyACO_ICC5[[#This Row],[2021 Member Months]]), "NA")</f>
        <v>NA</v>
      </c>
      <c r="H123" s="341" t="str">
        <f>IFERROR(IF(ValbyACO_ICC5[[#This Row],[2021 Member Months]]=0,"NA",SUMIFS(ACOAETME2021[[#All],[Claims: Professional, Specialty Care]], ACOAETME2021[[#All],[Insurance Category Code]], $E$118, ACOAETME2021[[#All],[ACO/AE or Insurer Overall Organization ID]], ValbyACO_ICC5[[#This Row],[Org ID]])/ValbyACO_ICC5[[#This Row],[2021 Member Months]]), "NA")</f>
        <v>NA</v>
      </c>
      <c r="I123" s="341" t="str">
        <f>IFERROR(IF(ValbyACO_ICC5[[#This Row],[2021 Member Months]]=0,"NA",SUMIFS(ACOAETME2021[[#All],[Claims: Professional Other]], ACOAETME2021[[#All],[Insurance Category Code]], $E$118, ACOAETME2021[[#All],[ACO/AE or Insurer Overall Organization ID]], ValbyACO_ICC5[[#This Row],[Org ID]])/ValbyACO_ICC5[[#This Row],[2021 Member Months]]), "NA")</f>
        <v>NA</v>
      </c>
      <c r="J123" s="341" t="str">
        <f>IFERROR(IF(ValbyACO_ICC5[[#This Row],[2021 Member Months]]=0,"NA",SUMIFS(ACOAETME2021[[#All],[Claims: Pharmacy]], ACOAETME2021[[#All],[Insurance Category Code]], $E$118, ACOAETME2021[[#All],[ACO/AE or Insurer Overall Organization ID]], ValbyACO_ICC5[[#This Row],[Org ID]])/ValbyACO_ICC5[[#This Row],[2021 Member Months]]), "NA")</f>
        <v>NA</v>
      </c>
      <c r="K123" s="341" t="str">
        <f>IFERROR(IF(ValbyACO_ICC5[[#This Row],[2021 Member Months]]=0,"NA",SUMIFS(ACOAETME2021[[#All],[Claims: Long-Term Care]], ACOAETME2021[[#All],[Insurance Category Code]], $E$118, ACOAETME2021[[#All],[ACO/AE or Insurer Overall Organization ID]], ValbyACO_ICC5[[#This Row],[Org ID]])/ValbyACO_ICC5[[#This Row],[2021 Member Months]]), "NA")</f>
        <v>NA</v>
      </c>
      <c r="L123" s="341" t="str">
        <f>IFERROR(IF(ValbyACO_ICC5[[#This Row],[2021 Member Months]]=0,"NA",SUMIFS(ACOAETME2021[[#All],[Claims: Other]], ACOAETME2021[[#All],[Insurance Category Code]], $E$118, ACOAETME2021[[#All],[ACO/AE or Insurer Overall Organization ID]], ValbyACO_ICC5[[#This Row],[Org ID]])/ValbyACO_ICC5[[#This Row],[2021 Member Months]]), "NA")</f>
        <v>NA</v>
      </c>
      <c r="M123" s="130" t="str">
        <f>IF(ValbyACO_ICC5[[#This Row],[2021 Member Months]]=0,"NA",SUMIFS(ACOAETME2021[[#All],[TOTAL Non-Truncated Unadjusted Claims Expenses]], ACOAETME2021[[#All],[Insurance Category Code]], $E$118, ACOAETME2021[[#All],[ACO/AE or Insurer Overall Organization ID]], ValbyACO_ICC5[[#This Row],[Org ID]])/ValbyACO_ICC5[[#This Row],[2021 Member Months]])</f>
        <v>NA</v>
      </c>
      <c r="N123" s="130" t="str">
        <f>IF(ValbyACO_ICC5[[#This Row],[2021 Member Months]]=0,"NA",SUMIFS(ACOAETME2021[[#All],[TOTAL Truncated Unadjusted Claims Expenses (A19 - A17)]], ACOAETME2021[[#All],[Insurance Category Code]], $E$118, ACOAETME2021[[#All],[ACO/AE or Insurer Overall Organization ID]], ValbyACO_ICC5[[#This Row],[Org ID]])/ValbyACO_ICC5[[#This Row],[2021 Member Months]])</f>
        <v>NA</v>
      </c>
      <c r="O123" s="130" t="str">
        <f>IF(ValbyACO_ICC5[[#This Row],[2021 Member Months]]=0,"NA",SUMIFS(ACOAETME2021[[#All],[TOTAL Non-Claims Expenses]], ACOAETME2021[[#All],[Insurance Category Code]], $E$118, ACOAETME2021[[#All],[ACO/AE or Insurer Overall Organization ID]], ValbyACO_ICC5[[#This Row],[Org ID]])/ValbyACO_ICC5[[#This Row],[2021 Member Months]])</f>
        <v>NA</v>
      </c>
      <c r="P123" s="341" t="str">
        <f>IF(ValbyACO_ICC5[[#This Row],[2021 Member Months]]=0, "NA", SUMIFS(ACOAETME2021[[#All],[TOTAL Non-Truncated Unadjusted Expenses 
(A19+A21)]], ACOAETME2021[[#All],[Insurance Category Code]], $E$118, ACOAETME2021[[#All],[ACO/AE or Insurer Overall Organization ID]], ValbyACO_ICC5[[#This Row],[Org ID]])/ValbyACO_ICC5[[#This Row],[2021 Member Months]])</f>
        <v>NA</v>
      </c>
      <c r="Q123" s="409" t="str">
        <f>IF(ValbyACO_ICC5[[#This Row],[2021 Member Months]]=0, "NA", SUMIFS(ACOAETME2021[[#All],[TOTAL Truncated Unadjusted Expenses (A20+A21)]], ACOAETME2021[[#All],[Insurance Category Code]], $E$118, ACOAETME2021[[#All],[ACO/AE or Insurer Overall Organization ID]], ValbyACO_ICC5[[#This Row],[Org ID]])/ValbyACO_ICC5[[#This Row],[2021 Member Months]])</f>
        <v>NA</v>
      </c>
      <c r="R123" s="304">
        <f>SUMIFS(ACOAETME2022[[#All],[Member Months]],ACOAETME2022[[#All],[Insurance Category Code]], $E$118,ACOAETME2022[[#All],[ACO/AE or Insurer Overall Organization ID]],ValbyACO_ICC5[[#This Row],[Org ID]])</f>
        <v>0</v>
      </c>
      <c r="S123" s="118" t="str">
        <f>IF(ValbyACO_ICC5[[#This Row],[2022 Member Months]]=0,"NA",SUMIFS(ACOAETME2022[[#All],[Claims: Hospital Inpatient]],ACOAETME2022[[#All],[Insurance Category Code]], $E$118,ACOAETME2022[[#All],[ACO/AE or Insurer Overall Organization ID]],ValbyACO_ICC5[[#This Row],[Org ID]])/ValbyACO_ICC5[[#This Row],[2022 Member Months]])</f>
        <v>NA</v>
      </c>
      <c r="T123" s="99" t="str">
        <f>IF(ValbyACO_ICC5[[#This Row],[2022 Member Months]]=0,"NA",SUMIFS(ACOAETME2022[[#All],[Claims: Hospital Outpatient]],ACOAETME2022[[#All],[Insurance Category Code]], $E$118,ACOAETME2022[[#All],[ACO/AE or Insurer Overall Organization ID]],ValbyACO_ICC5[[#This Row],[Org ID]])/ValbyACO_ICC5[[#This Row],[2022 Member Months]])</f>
        <v>NA</v>
      </c>
      <c r="U123" s="88" t="str">
        <f>IF(ValbyACO_ICC5[[#This Row],[2022 Member Months]]=0,"NA",SUMIFS(ACOAETME2022[[#All],[Claims: Professional, Primary Care]],ACOAETME2022[[#All],[Insurance Category Code]], $E$118,ACOAETME2022[[#All],[ACO/AE or Insurer Overall Organization ID]],ValbyACO_ICC5[[#This Row],[Org ID]])/ValbyACO_ICC5[[#This Row],[2022 Member Months]])</f>
        <v>NA</v>
      </c>
      <c r="V123" s="88" t="str">
        <f>IF(ValbyACO_ICC5[[#This Row],[2022 Member Months]]=0,"NA",SUMIFS(ACOAETME2022[[#All],[Claims: Professional, Specialty Care]],ACOAETME2022[[#All],[Insurance Category Code]], $E$118,ACOAETME2022[[#All],[ACO/AE or Insurer Overall Organization ID]],ValbyACO_ICC5[[#This Row],[Org ID]])/ValbyACO_ICC5[[#This Row],[2022 Member Months]])</f>
        <v>NA</v>
      </c>
      <c r="W123" s="88" t="str">
        <f>IF(ValbyACO_ICC5[[#This Row],[2022 Member Months]]=0,"NA",SUMIFS(ACOAETME2022[[#All],[Claims: Professional Other]],ACOAETME2022[[#All],[Insurance Category Code]], $E$118,ACOAETME2022[[#All],[ACO/AE or Insurer Overall Organization ID]],ValbyACO_ICC5[[#This Row],[Org ID]])/ValbyACO_ICC5[[#This Row],[2022 Member Months]])</f>
        <v>NA</v>
      </c>
      <c r="X123" s="88" t="str">
        <f>IF(ValbyACO_ICC5[[#This Row],[2022 Member Months]]=0,"NA",SUMIFS(ACOAETME2022[[#All],[Claims: Pharmacy]],ACOAETME2022[[#All],[Insurance Category Code]], $E$118,ACOAETME2022[[#All],[ACO/AE or Insurer Overall Organization ID]],ValbyACO_ICC5[[#This Row],[Org ID]])/ValbyACO_ICC5[[#This Row],[2022 Member Months]])</f>
        <v>NA</v>
      </c>
      <c r="Y123" s="88" t="str">
        <f>IF(ValbyACO_ICC5[[#This Row],[2022 Member Months]]=0,"NA",SUMIFS(ACOAETME2022[[#All],[Claims: Long-Term Care]],ACOAETME2022[[#All],[Insurance Category Code]], $E$118,ACOAETME2022[[#All],[ACO/AE or Insurer Overall Organization ID]],ValbyACO_ICC5[[#This Row],[Org ID]])/ValbyACO_ICC5[[#This Row],[2022 Member Months]])</f>
        <v>NA</v>
      </c>
      <c r="Z123" s="88" t="str">
        <f>IF(ValbyACO_ICC5[[#This Row],[2022 Member Months]]=0,"NA",SUMIFS(ACOAETME2022[[#All],[Claims: Other]],ACOAETME2022[[#All],[Insurance Category Code]], $E$118,ACOAETME2022[[#All],[ACO/AE or Insurer Overall Organization ID]],ValbyACO_ICC5[[#This Row],[Org ID]])/ValbyACO_ICC5[[#This Row],[2022 Member Months]])</f>
        <v>NA</v>
      </c>
      <c r="AA123" s="130" t="str">
        <f>IF(ValbyACO_ICC5[[#This Row],[2022 Member Months]]=0,"NA",SUMIFS(ACOAETME2022[[#All],[TOTAL Non-Truncated Unadjusted Claims Expenses]],ACOAETME2022[[#All],[Insurance Category Code]], $E$118,ACOAETME2022[[#All],[ACO/AE or Insurer Overall Organization ID]],ValbyACO_ICC5[[#This Row],[Org ID]])/ValbyACO_ICC5[[#This Row],[2022 Member Months]])</f>
        <v>NA</v>
      </c>
      <c r="AB123" s="130" t="str">
        <f>IF(ValbyACO_ICC5[[#This Row],[2022 Member Months]]=0,"NA",SUMIFS(ACOAETME2022[[#All],[TOTAL Truncated Unadjusted Expenses (A20+A21)]],ACOAETME2022[[#All],[Insurance Category Code]], $E$118,ACOAETME2022[[#All],[ACO/AE or Insurer Overall Organization ID]],ValbyACO_ICC5[[#This Row],[Org ID]])/ValbyACO_ICC5[[#This Row],[2022 Member Months]])</f>
        <v>NA</v>
      </c>
      <c r="AC123" s="130" t="str">
        <f>IF(ValbyACO_ICC5[[#This Row],[2022 Member Months]]=0,"NA",SUMIFS(ACOAETME2022[[#All],[TOTAL Non-Claims Expenses]],ACOAETME2022[[#All],[Insurance Category Code]], $E$118,ACOAETME2022[[#All],[ACO/AE or Insurer Overall Organization ID]],ValbyACO_ICC5[[#This Row],[Org ID]])/ValbyACO_ICC5[[#This Row],[2022 Member Months]])</f>
        <v>NA</v>
      </c>
      <c r="AD123" s="288" t="str">
        <f>IF(ValbyACO_ICC5[[#This Row],[2022 Member Months]]=0,"NA",SUMIFS(ACOAETME2022[[#All],[TOTAL Non-Truncated Unadjusted Expenses 
(A19+A21)]],ACOAETME2022[[#All],[Insurance Category Code]], $E$118,ACOAETME2022[[#All],[ACO/AE or Insurer Overall Organization ID]],ValbyACO_ICC5[[#This Row],[Org ID]])/ValbyACO_ICC5[[#This Row],[2022 Member Months]])</f>
        <v>NA</v>
      </c>
      <c r="AE123" s="119" t="str">
        <f>IF(ValbyACO_ICC5[[#This Row],[2022 Member Months]]=0,"NA",SUMIFS(ACOAETME2022[[#All],[TOTAL Truncated Unadjusted Expenses (A20+A21)]],ACOAETME2022[[#All],[Insurance Category Code]],$E$118,ACOAETME2022[[#All],[ACO/AE or Insurer Overall Organization ID]],ValbyACO_ICC5[[#This Row],[Org ID]])/ValbyACO_ICC5[[#This Row],[2022 Member Months]])</f>
        <v>NA</v>
      </c>
      <c r="AF123" s="161" t="str">
        <f>IFERROR(IF(ValbyACO_ICC5[[#This Row],[2021 Member Months]]=0,"NA",ValbyACO_ICC5[[#This Row],[2022 Member Months]]/ValbyACO_ICC5[[#This Row],[2021 Member Months]]-1),"NA")</f>
        <v>NA</v>
      </c>
      <c r="AG123" s="161" t="str">
        <f>IFERROR(IF(ValbyACO_ICC5[[#This Row],[2021 Member Months]]=0,"NA",ValbyACO_ICC5[[#This Row],[2022 Claims: Hospital Inpatient]]/ValbyACO_ICC5[[#This Row],[2021 Claims: Hospital Inpatient]]-1),"NA")</f>
        <v>NA</v>
      </c>
      <c r="AH123" s="162" t="str">
        <f>IFERROR(IF(ValbyACO_ICC5[[#This Row],[2021 Member Months]]=0,"NA",ValbyACO_ICC5[[#This Row],[2022 Claims: Hospital Outpatient]]/ValbyACO_ICC5[[#This Row],[2021 Claims: Hospital Outpatient]]-1),"NA")</f>
        <v>NA</v>
      </c>
      <c r="AI123" s="162" t="str">
        <f>IFERROR(IF(ValbyACO_ICC5[[#This Row],[2021 Member Months]]=0,"NA",ValbyACO_ICC5[[#This Row],[2022 Claims: Professional, Primary Care]]/ValbyACO_ICC5[[#This Row],[2021 Claims: Professional, Primary Care]]-1),"NA")</f>
        <v>NA</v>
      </c>
      <c r="AJ123" s="162" t="str">
        <f>IFERROR(IF(ValbyACO_ICC5[[#This Row],[2021 Member Months]]=0,"NA",ValbyACO_ICC5[[#This Row],[2022 Claims: Professional, Specialty Care]]/ValbyACO_ICC5[[#This Row],[2021 Claims: Professional, Specialty Care]]-1),"NA")</f>
        <v>NA</v>
      </c>
      <c r="AK123" s="162" t="str">
        <f>IFERROR(IF(ValbyACO_ICC5[[#This Row],[2021 Member Months]]=0,"NA", ValbyACO_ICC5[[#This Row],[2022 Claims: Professional Other]]/ValbyACO_ICC5[[#This Row],[2021 Claims: Professional Other]]-1),"NA")</f>
        <v>NA</v>
      </c>
      <c r="AL123" s="162" t="str">
        <f>IFERROR(IF(ValbyACO_ICC5[[#This Row],[2021 Member Months]]=0,"NA",ValbyACO_ICC5[[#This Row],[2022 Claims: Pharmacy (Gross of Retail Pharmacy Rebates)]]/ValbyACO_ICC5[[#This Row],[2021 Claims: Pharmacy (Gross of  Rebates)]]-1),"NA")</f>
        <v>NA</v>
      </c>
      <c r="AM123" s="162" t="str">
        <f>IFERROR(IF(ValbyACO_ICC5[[#This Row],[2021 Member Months]]=0,"NA",ValbyACO_ICC5[[#This Row],[2022 Claims: Long-term Care]]/ValbyACO_ICC5[[#This Row],[2021 Claims: Long-term Care]]-1),"NA")</f>
        <v>NA</v>
      </c>
      <c r="AN123" s="162" t="str">
        <f>IFERROR(IF(ValbyACO_ICC5[[#This Row],[2021 Member Months]]=0,"NA",ValbyACO_ICC5[[#This Row],[2022 Claims: Other]]/ValbyACO_ICC5[[#This Row],[2021 Claims: Other]]-1),"NA")</f>
        <v>NA</v>
      </c>
      <c r="AO123" s="163" t="str">
        <f>IFERROR(IF(ValbyACO_ICC5[[#This Row],[2021 Member Months]]=0,"NA",ValbyACO_ICC5[[#This Row],[2022 TOTAL Non-Truncated Claims Expenses]]/ValbyACO_ICC5[[#This Row],[2021 TOTAL Non-Truncated Claims Expenses]]-1),"NA")</f>
        <v>NA</v>
      </c>
      <c r="AP123" s="163" t="str">
        <f>IFERROR(IF(ValbyACO_ICC5[[#This Row],[2021 Member Months]]=0,"NA",ValbyACO_ICC5[[#This Row],[2022 TOTAL Truncated Claims Expenses]]/ValbyACO_ICC5[[#This Row],[2021 TOTAL Truncated Claims Expenses]]-1),"NA")</f>
        <v>NA</v>
      </c>
      <c r="AQ123" s="163" t="str">
        <f>IFERROR(IF(ValbyACO_ICC5[[#This Row],[2021 Member Months]]=0,"NA",ValbyACO_ICC5[[#This Row],[2022 TOTAL Non-Claims Expenses]]/ValbyACO_ICC5[[#This Row],[2021 TOTAL Non-Claims Expenses]]-1),"NA")</f>
        <v>NA</v>
      </c>
      <c r="AR123" s="163" t="str">
        <f>IFERROR(IF(ValbyACO_ICC5[[#This Row],[2021 Member Months]]=0,"NA",ValbyACO_ICC5[[#This Row],[2022 TOTAL Non-Truncated Total Expenses]]/ValbyACO_ICC5[[#This Row],[2021 TOTAL Non-Truncated Total Expenses]]-1),"NA")</f>
        <v>NA</v>
      </c>
      <c r="AS123" s="163" t="str">
        <f>IFERROR(IF(ValbyACO_ICC5[[#This Row],[2021 Member Months]]=0,"NA",ValbyACO_ICC5[[#This Row],[2022 TOTAL Truncated Total Expenses]]/ValbyACO_ICC5[[#This Row],[2021 TOTAL Truncated Total Expenses]]-1),"NA")</f>
        <v>NA</v>
      </c>
    </row>
    <row r="124" spans="1:45" x14ac:dyDescent="0.35">
      <c r="A124" s="129"/>
      <c r="B124" s="250">
        <v>105</v>
      </c>
      <c r="C124" s="291" t="s">
        <v>169</v>
      </c>
      <c r="D124" s="120">
        <f>SUMIFS(ACOAETME2021[[#All],[Member Months]], ACOAETME2021[[#All],[Insurance Category Code]], $E$118, ACOAETME2021[[#All],[ACO/AE or Insurer Overall Organization ID]], ValbyACO_ICC5[[#This Row],[Org ID]])</f>
        <v>0</v>
      </c>
      <c r="E124" s="268" t="str">
        <f>IFERROR(IF(ValbyACO_ICC5[[#This Row],[2021 Member Months]]=0,"NA",SUMIFS(ACOAETME2021[[#All],[Claims: Hospital Inpatient]], ACOAETME2021[[#All],[Insurance Category Code]], $E$118, ACOAETME2021[[#All],[ACO/AE or Insurer Overall Organization ID]], ValbyACO_ICC5[[#This Row],[Org ID]])/ValbyACO_ICC5[[#This Row],[2021 Member Months]]), "NA")</f>
        <v>NA</v>
      </c>
      <c r="F124" s="419" t="str">
        <f>IFERROR(IF(ValbyACO_ICC5[[#This Row],[2021 Member Months]]=0,"NA",SUMIFS(ACOAETME2021[[#All],[Claims: Hospital Outpatient]], ACOAETME2021[[#All],[Insurance Category Code]], $E$118, ACOAETME2021[[#All],[ACO/AE or Insurer Overall Organization ID]], ValbyACO_ICC5[[#This Row],[Org ID]])/ValbyACO_ICC5[[#This Row],[2021 Member Months]]), "NA")</f>
        <v>NA</v>
      </c>
      <c r="G124" s="341" t="str">
        <f>IFERROR(IF(ValbyACO_ICC5[[#This Row],[2021 Member Months]]=0,"NA",SUMIFS(ACOAETME2021[[#All],[Claims: Professional, Primary Care]], ACOAETME2021[[#All],[Insurance Category Code]], $E$118, ACOAETME2021[[#All],[ACO/AE or Insurer Overall Organization ID]], ValbyACO_ICC5[[#This Row],[Org ID]])/ValbyACO_ICC5[[#This Row],[2021 Member Months]]), "NA")</f>
        <v>NA</v>
      </c>
      <c r="H124" s="341" t="str">
        <f>IFERROR(IF(ValbyACO_ICC5[[#This Row],[2021 Member Months]]=0,"NA",SUMIFS(ACOAETME2021[[#All],[Claims: Professional, Specialty Care]], ACOAETME2021[[#All],[Insurance Category Code]], $E$118, ACOAETME2021[[#All],[ACO/AE or Insurer Overall Organization ID]], ValbyACO_ICC5[[#This Row],[Org ID]])/ValbyACO_ICC5[[#This Row],[2021 Member Months]]), "NA")</f>
        <v>NA</v>
      </c>
      <c r="I124" s="341" t="str">
        <f>IFERROR(IF(ValbyACO_ICC5[[#This Row],[2021 Member Months]]=0,"NA",SUMIFS(ACOAETME2021[[#All],[Claims: Professional Other]], ACOAETME2021[[#All],[Insurance Category Code]], $E$118, ACOAETME2021[[#All],[ACO/AE or Insurer Overall Organization ID]], ValbyACO_ICC5[[#This Row],[Org ID]])/ValbyACO_ICC5[[#This Row],[2021 Member Months]]), "NA")</f>
        <v>NA</v>
      </c>
      <c r="J124" s="341" t="str">
        <f>IFERROR(IF(ValbyACO_ICC5[[#This Row],[2021 Member Months]]=0,"NA",SUMIFS(ACOAETME2021[[#All],[Claims: Pharmacy]], ACOAETME2021[[#All],[Insurance Category Code]], $E$118, ACOAETME2021[[#All],[ACO/AE or Insurer Overall Organization ID]], ValbyACO_ICC5[[#This Row],[Org ID]])/ValbyACO_ICC5[[#This Row],[2021 Member Months]]), "NA")</f>
        <v>NA</v>
      </c>
      <c r="K124" s="341" t="str">
        <f>IFERROR(IF(ValbyACO_ICC5[[#This Row],[2021 Member Months]]=0,"NA",SUMIFS(ACOAETME2021[[#All],[Claims: Long-Term Care]], ACOAETME2021[[#All],[Insurance Category Code]], $E$118, ACOAETME2021[[#All],[ACO/AE or Insurer Overall Organization ID]], ValbyACO_ICC5[[#This Row],[Org ID]])/ValbyACO_ICC5[[#This Row],[2021 Member Months]]), "NA")</f>
        <v>NA</v>
      </c>
      <c r="L124" s="341" t="str">
        <f>IFERROR(IF(ValbyACO_ICC5[[#This Row],[2021 Member Months]]=0,"NA",SUMIFS(ACOAETME2021[[#All],[Claims: Other]], ACOAETME2021[[#All],[Insurance Category Code]], $E$118, ACOAETME2021[[#All],[ACO/AE or Insurer Overall Organization ID]], ValbyACO_ICC5[[#This Row],[Org ID]])/ValbyACO_ICC5[[#This Row],[2021 Member Months]]), "NA")</f>
        <v>NA</v>
      </c>
      <c r="M124" s="130" t="str">
        <f>IF(ValbyACO_ICC5[[#This Row],[2021 Member Months]]=0,"NA",SUMIFS(ACOAETME2021[[#All],[TOTAL Non-Truncated Unadjusted Claims Expenses]], ACOAETME2021[[#All],[Insurance Category Code]], $E$118, ACOAETME2021[[#All],[ACO/AE or Insurer Overall Organization ID]], ValbyACO_ICC5[[#This Row],[Org ID]])/ValbyACO_ICC5[[#This Row],[2021 Member Months]])</f>
        <v>NA</v>
      </c>
      <c r="N124" s="130" t="str">
        <f>IF(ValbyACO_ICC5[[#This Row],[2021 Member Months]]=0,"NA",SUMIFS(ACOAETME2021[[#All],[TOTAL Truncated Unadjusted Claims Expenses (A19 - A17)]], ACOAETME2021[[#All],[Insurance Category Code]], $E$118, ACOAETME2021[[#All],[ACO/AE or Insurer Overall Organization ID]], ValbyACO_ICC5[[#This Row],[Org ID]])/ValbyACO_ICC5[[#This Row],[2021 Member Months]])</f>
        <v>NA</v>
      </c>
      <c r="O124" s="130" t="str">
        <f>IF(ValbyACO_ICC5[[#This Row],[2021 Member Months]]=0,"NA",SUMIFS(ACOAETME2021[[#All],[TOTAL Non-Claims Expenses]], ACOAETME2021[[#All],[Insurance Category Code]], $E$118, ACOAETME2021[[#All],[ACO/AE or Insurer Overall Organization ID]], ValbyACO_ICC5[[#This Row],[Org ID]])/ValbyACO_ICC5[[#This Row],[2021 Member Months]])</f>
        <v>NA</v>
      </c>
      <c r="P124" s="341" t="str">
        <f>IF(ValbyACO_ICC5[[#This Row],[2021 Member Months]]=0, "NA", SUMIFS(ACOAETME2021[[#All],[TOTAL Non-Truncated Unadjusted Expenses 
(A19+A21)]], ACOAETME2021[[#All],[Insurance Category Code]], $E$118, ACOAETME2021[[#All],[ACO/AE or Insurer Overall Organization ID]], ValbyACO_ICC5[[#This Row],[Org ID]])/ValbyACO_ICC5[[#This Row],[2021 Member Months]])</f>
        <v>NA</v>
      </c>
      <c r="Q124" s="409" t="str">
        <f>IF(ValbyACO_ICC5[[#This Row],[2021 Member Months]]=0, "NA", SUMIFS(ACOAETME2021[[#All],[TOTAL Truncated Unadjusted Expenses (A20+A21)]], ACOAETME2021[[#All],[Insurance Category Code]], $E$118, ACOAETME2021[[#All],[ACO/AE or Insurer Overall Organization ID]], ValbyACO_ICC5[[#This Row],[Org ID]])/ValbyACO_ICC5[[#This Row],[2021 Member Months]])</f>
        <v>NA</v>
      </c>
      <c r="R124" s="304">
        <f>SUMIFS(ACOAETME2022[[#All],[Member Months]],ACOAETME2022[[#All],[Insurance Category Code]], $E$118,ACOAETME2022[[#All],[ACO/AE or Insurer Overall Organization ID]],ValbyACO_ICC5[[#This Row],[Org ID]])</f>
        <v>0</v>
      </c>
      <c r="S124" s="118" t="str">
        <f>IF(ValbyACO_ICC5[[#This Row],[2022 Member Months]]=0,"NA",SUMIFS(ACOAETME2022[[#All],[Claims: Hospital Inpatient]],ACOAETME2022[[#All],[Insurance Category Code]], $E$118,ACOAETME2022[[#All],[ACO/AE or Insurer Overall Organization ID]],ValbyACO_ICC5[[#This Row],[Org ID]])/ValbyACO_ICC5[[#This Row],[2022 Member Months]])</f>
        <v>NA</v>
      </c>
      <c r="T124" s="99" t="str">
        <f>IF(ValbyACO_ICC5[[#This Row],[2022 Member Months]]=0,"NA",SUMIFS(ACOAETME2022[[#All],[Claims: Hospital Outpatient]],ACOAETME2022[[#All],[Insurance Category Code]], $E$118,ACOAETME2022[[#All],[ACO/AE or Insurer Overall Organization ID]],ValbyACO_ICC5[[#This Row],[Org ID]])/ValbyACO_ICC5[[#This Row],[2022 Member Months]])</f>
        <v>NA</v>
      </c>
      <c r="U124" s="88" t="str">
        <f>IF(ValbyACO_ICC5[[#This Row],[2022 Member Months]]=0,"NA",SUMIFS(ACOAETME2022[[#All],[Claims: Professional, Primary Care]],ACOAETME2022[[#All],[Insurance Category Code]], $E$118,ACOAETME2022[[#All],[ACO/AE or Insurer Overall Organization ID]],ValbyACO_ICC5[[#This Row],[Org ID]])/ValbyACO_ICC5[[#This Row],[2022 Member Months]])</f>
        <v>NA</v>
      </c>
      <c r="V124" s="88" t="str">
        <f>IF(ValbyACO_ICC5[[#This Row],[2022 Member Months]]=0,"NA",SUMIFS(ACOAETME2022[[#All],[Claims: Professional, Specialty Care]],ACOAETME2022[[#All],[Insurance Category Code]], $E$118,ACOAETME2022[[#All],[ACO/AE or Insurer Overall Organization ID]],ValbyACO_ICC5[[#This Row],[Org ID]])/ValbyACO_ICC5[[#This Row],[2022 Member Months]])</f>
        <v>NA</v>
      </c>
      <c r="W124" s="88" t="str">
        <f>IF(ValbyACO_ICC5[[#This Row],[2022 Member Months]]=0,"NA",SUMIFS(ACOAETME2022[[#All],[Claims: Professional Other]],ACOAETME2022[[#All],[Insurance Category Code]], $E$118,ACOAETME2022[[#All],[ACO/AE or Insurer Overall Organization ID]],ValbyACO_ICC5[[#This Row],[Org ID]])/ValbyACO_ICC5[[#This Row],[2022 Member Months]])</f>
        <v>NA</v>
      </c>
      <c r="X124" s="88" t="str">
        <f>IF(ValbyACO_ICC5[[#This Row],[2022 Member Months]]=0,"NA",SUMIFS(ACOAETME2022[[#All],[Claims: Pharmacy]],ACOAETME2022[[#All],[Insurance Category Code]], $E$118,ACOAETME2022[[#All],[ACO/AE or Insurer Overall Organization ID]],ValbyACO_ICC5[[#This Row],[Org ID]])/ValbyACO_ICC5[[#This Row],[2022 Member Months]])</f>
        <v>NA</v>
      </c>
      <c r="Y124" s="88" t="str">
        <f>IF(ValbyACO_ICC5[[#This Row],[2022 Member Months]]=0,"NA",SUMIFS(ACOAETME2022[[#All],[Claims: Long-Term Care]],ACOAETME2022[[#All],[Insurance Category Code]], $E$118,ACOAETME2022[[#All],[ACO/AE or Insurer Overall Organization ID]],ValbyACO_ICC5[[#This Row],[Org ID]])/ValbyACO_ICC5[[#This Row],[2022 Member Months]])</f>
        <v>NA</v>
      </c>
      <c r="Z124" s="88" t="str">
        <f>IF(ValbyACO_ICC5[[#This Row],[2022 Member Months]]=0,"NA",SUMIFS(ACOAETME2022[[#All],[Claims: Other]],ACOAETME2022[[#All],[Insurance Category Code]], $E$118,ACOAETME2022[[#All],[ACO/AE or Insurer Overall Organization ID]],ValbyACO_ICC5[[#This Row],[Org ID]])/ValbyACO_ICC5[[#This Row],[2022 Member Months]])</f>
        <v>NA</v>
      </c>
      <c r="AA124" s="130" t="str">
        <f>IF(ValbyACO_ICC5[[#This Row],[2022 Member Months]]=0,"NA",SUMIFS(ACOAETME2022[[#All],[TOTAL Non-Truncated Unadjusted Claims Expenses]],ACOAETME2022[[#All],[Insurance Category Code]], $E$118,ACOAETME2022[[#All],[ACO/AE or Insurer Overall Organization ID]],ValbyACO_ICC5[[#This Row],[Org ID]])/ValbyACO_ICC5[[#This Row],[2022 Member Months]])</f>
        <v>NA</v>
      </c>
      <c r="AB124" s="130" t="str">
        <f>IF(ValbyACO_ICC5[[#This Row],[2022 Member Months]]=0,"NA",SUMIFS(ACOAETME2022[[#All],[TOTAL Truncated Unadjusted Expenses (A20+A21)]],ACOAETME2022[[#All],[Insurance Category Code]], $E$118,ACOAETME2022[[#All],[ACO/AE or Insurer Overall Organization ID]],ValbyACO_ICC5[[#This Row],[Org ID]])/ValbyACO_ICC5[[#This Row],[2022 Member Months]])</f>
        <v>NA</v>
      </c>
      <c r="AC124" s="130" t="str">
        <f>IF(ValbyACO_ICC5[[#This Row],[2022 Member Months]]=0,"NA",SUMIFS(ACOAETME2022[[#All],[TOTAL Non-Claims Expenses]],ACOAETME2022[[#All],[Insurance Category Code]], $E$118,ACOAETME2022[[#All],[ACO/AE or Insurer Overall Organization ID]],ValbyACO_ICC5[[#This Row],[Org ID]])/ValbyACO_ICC5[[#This Row],[2022 Member Months]])</f>
        <v>NA</v>
      </c>
      <c r="AD124" s="288" t="str">
        <f>IF(ValbyACO_ICC5[[#This Row],[2022 Member Months]]=0,"NA",SUMIFS(ACOAETME2022[[#All],[TOTAL Non-Truncated Unadjusted Expenses 
(A19+A21)]],ACOAETME2022[[#All],[Insurance Category Code]], $E$118,ACOAETME2022[[#All],[ACO/AE or Insurer Overall Organization ID]],ValbyACO_ICC5[[#This Row],[Org ID]])/ValbyACO_ICC5[[#This Row],[2022 Member Months]])</f>
        <v>NA</v>
      </c>
      <c r="AE124" s="119" t="str">
        <f>IF(ValbyACO_ICC5[[#This Row],[2022 Member Months]]=0,"NA",SUMIFS(ACOAETME2022[[#All],[TOTAL Truncated Unadjusted Expenses (A20+A21)]],ACOAETME2022[[#All],[Insurance Category Code]],$E$118,ACOAETME2022[[#All],[ACO/AE or Insurer Overall Organization ID]],ValbyACO_ICC5[[#This Row],[Org ID]])/ValbyACO_ICC5[[#This Row],[2022 Member Months]])</f>
        <v>NA</v>
      </c>
      <c r="AF124" s="161" t="str">
        <f>IFERROR(IF(ValbyACO_ICC5[[#This Row],[2021 Member Months]]=0,"NA",ValbyACO_ICC5[[#This Row],[2022 Member Months]]/ValbyACO_ICC5[[#This Row],[2021 Member Months]]-1),"NA")</f>
        <v>NA</v>
      </c>
      <c r="AG124" s="161" t="str">
        <f>IFERROR(IF(ValbyACO_ICC5[[#This Row],[2021 Member Months]]=0,"NA",ValbyACO_ICC5[[#This Row],[2022 Claims: Hospital Inpatient]]/ValbyACO_ICC5[[#This Row],[2021 Claims: Hospital Inpatient]]-1),"NA")</f>
        <v>NA</v>
      </c>
      <c r="AH124" s="162" t="str">
        <f>IFERROR(IF(ValbyACO_ICC5[[#This Row],[2021 Member Months]]=0,"NA",ValbyACO_ICC5[[#This Row],[2022 Claims: Hospital Outpatient]]/ValbyACO_ICC5[[#This Row],[2021 Claims: Hospital Outpatient]]-1),"NA")</f>
        <v>NA</v>
      </c>
      <c r="AI124" s="162" t="str">
        <f>IFERROR(IF(ValbyACO_ICC5[[#This Row],[2021 Member Months]]=0,"NA",ValbyACO_ICC5[[#This Row],[2022 Claims: Professional, Primary Care]]/ValbyACO_ICC5[[#This Row],[2021 Claims: Professional, Primary Care]]-1),"NA")</f>
        <v>NA</v>
      </c>
      <c r="AJ124" s="162" t="str">
        <f>IFERROR(IF(ValbyACO_ICC5[[#This Row],[2021 Member Months]]=0,"NA",ValbyACO_ICC5[[#This Row],[2022 Claims: Professional, Specialty Care]]/ValbyACO_ICC5[[#This Row],[2021 Claims: Professional, Specialty Care]]-1),"NA")</f>
        <v>NA</v>
      </c>
      <c r="AK124" s="162" t="str">
        <f>IFERROR(IF(ValbyACO_ICC5[[#This Row],[2021 Member Months]]=0,"NA", ValbyACO_ICC5[[#This Row],[2022 Claims: Professional Other]]/ValbyACO_ICC5[[#This Row],[2021 Claims: Professional Other]]-1),"NA")</f>
        <v>NA</v>
      </c>
      <c r="AL124" s="162" t="str">
        <f>IFERROR(IF(ValbyACO_ICC5[[#This Row],[2021 Member Months]]=0,"NA",ValbyACO_ICC5[[#This Row],[2022 Claims: Pharmacy (Gross of Retail Pharmacy Rebates)]]/ValbyACO_ICC5[[#This Row],[2021 Claims: Pharmacy (Gross of  Rebates)]]-1),"NA")</f>
        <v>NA</v>
      </c>
      <c r="AM124" s="162" t="str">
        <f>IFERROR(IF(ValbyACO_ICC5[[#This Row],[2021 Member Months]]=0,"NA",ValbyACO_ICC5[[#This Row],[2022 Claims: Long-term Care]]/ValbyACO_ICC5[[#This Row],[2021 Claims: Long-term Care]]-1),"NA")</f>
        <v>NA</v>
      </c>
      <c r="AN124" s="162" t="str">
        <f>IFERROR(IF(ValbyACO_ICC5[[#This Row],[2021 Member Months]]=0,"NA",ValbyACO_ICC5[[#This Row],[2022 Claims: Other]]/ValbyACO_ICC5[[#This Row],[2021 Claims: Other]]-1),"NA")</f>
        <v>NA</v>
      </c>
      <c r="AO124" s="163" t="str">
        <f>IFERROR(IF(ValbyACO_ICC5[[#This Row],[2021 Member Months]]=0,"NA",ValbyACO_ICC5[[#This Row],[2022 TOTAL Non-Truncated Claims Expenses]]/ValbyACO_ICC5[[#This Row],[2021 TOTAL Non-Truncated Claims Expenses]]-1),"NA")</f>
        <v>NA</v>
      </c>
      <c r="AP124" s="163" t="str">
        <f>IFERROR(IF(ValbyACO_ICC5[[#This Row],[2021 Member Months]]=0,"NA",ValbyACO_ICC5[[#This Row],[2022 TOTAL Truncated Claims Expenses]]/ValbyACO_ICC5[[#This Row],[2021 TOTAL Truncated Claims Expenses]]-1),"NA")</f>
        <v>NA</v>
      </c>
      <c r="AQ124" s="163" t="str">
        <f>IFERROR(IF(ValbyACO_ICC5[[#This Row],[2021 Member Months]]=0,"NA",ValbyACO_ICC5[[#This Row],[2022 TOTAL Non-Claims Expenses]]/ValbyACO_ICC5[[#This Row],[2021 TOTAL Non-Claims Expenses]]-1),"NA")</f>
        <v>NA</v>
      </c>
      <c r="AR124" s="163" t="str">
        <f>IFERROR(IF(ValbyACO_ICC5[[#This Row],[2021 Member Months]]=0,"NA",ValbyACO_ICC5[[#This Row],[2022 TOTAL Non-Truncated Total Expenses]]/ValbyACO_ICC5[[#This Row],[2021 TOTAL Non-Truncated Total Expenses]]-1),"NA")</f>
        <v>NA</v>
      </c>
      <c r="AS124" s="163" t="str">
        <f>IFERROR(IF(ValbyACO_ICC5[[#This Row],[2021 Member Months]]=0,"NA",ValbyACO_ICC5[[#This Row],[2022 TOTAL Truncated Total Expenses]]/ValbyACO_ICC5[[#This Row],[2021 TOTAL Truncated Total Expenses]]-1),"NA")</f>
        <v>NA</v>
      </c>
    </row>
    <row r="125" spans="1:45" x14ac:dyDescent="0.35">
      <c r="A125" s="129"/>
      <c r="B125" s="250">
        <v>106</v>
      </c>
      <c r="C125" s="291" t="s">
        <v>170</v>
      </c>
      <c r="D125" s="120">
        <f>SUMIFS(ACOAETME2021[[#All],[Member Months]], ACOAETME2021[[#All],[Insurance Category Code]], $E$118, ACOAETME2021[[#All],[ACO/AE or Insurer Overall Organization ID]], ValbyACO_ICC5[[#This Row],[Org ID]])</f>
        <v>0</v>
      </c>
      <c r="E125" s="268" t="str">
        <f>IFERROR(IF(ValbyACO_ICC5[[#This Row],[2021 Member Months]]=0,"NA",SUMIFS(ACOAETME2021[[#All],[Claims: Hospital Inpatient]], ACOAETME2021[[#All],[Insurance Category Code]], $E$118, ACOAETME2021[[#All],[ACO/AE or Insurer Overall Organization ID]], ValbyACO_ICC5[[#This Row],[Org ID]])/ValbyACO_ICC5[[#This Row],[2021 Member Months]]), "NA")</f>
        <v>NA</v>
      </c>
      <c r="F125" s="419" t="str">
        <f>IFERROR(IF(ValbyACO_ICC5[[#This Row],[2021 Member Months]]=0,"NA",SUMIFS(ACOAETME2021[[#All],[Claims: Hospital Outpatient]], ACOAETME2021[[#All],[Insurance Category Code]], $E$118, ACOAETME2021[[#All],[ACO/AE or Insurer Overall Organization ID]], ValbyACO_ICC5[[#This Row],[Org ID]])/ValbyACO_ICC5[[#This Row],[2021 Member Months]]), "NA")</f>
        <v>NA</v>
      </c>
      <c r="G125" s="341" t="str">
        <f>IFERROR(IF(ValbyACO_ICC5[[#This Row],[2021 Member Months]]=0,"NA",SUMIFS(ACOAETME2021[[#All],[Claims: Professional, Primary Care]], ACOAETME2021[[#All],[Insurance Category Code]], $E$118, ACOAETME2021[[#All],[ACO/AE or Insurer Overall Organization ID]], ValbyACO_ICC5[[#This Row],[Org ID]])/ValbyACO_ICC5[[#This Row],[2021 Member Months]]), "NA")</f>
        <v>NA</v>
      </c>
      <c r="H125" s="341" t="str">
        <f>IFERROR(IF(ValbyACO_ICC5[[#This Row],[2021 Member Months]]=0,"NA",SUMIFS(ACOAETME2021[[#All],[Claims: Professional, Specialty Care]], ACOAETME2021[[#All],[Insurance Category Code]], $E$118, ACOAETME2021[[#All],[ACO/AE or Insurer Overall Organization ID]], ValbyACO_ICC5[[#This Row],[Org ID]])/ValbyACO_ICC5[[#This Row],[2021 Member Months]]), "NA")</f>
        <v>NA</v>
      </c>
      <c r="I125" s="341" t="str">
        <f>IFERROR(IF(ValbyACO_ICC5[[#This Row],[2021 Member Months]]=0,"NA",SUMIFS(ACOAETME2021[[#All],[Claims: Professional Other]], ACOAETME2021[[#All],[Insurance Category Code]], $E$118, ACOAETME2021[[#All],[ACO/AE or Insurer Overall Organization ID]], ValbyACO_ICC5[[#This Row],[Org ID]])/ValbyACO_ICC5[[#This Row],[2021 Member Months]]), "NA")</f>
        <v>NA</v>
      </c>
      <c r="J125" s="341" t="str">
        <f>IFERROR(IF(ValbyACO_ICC5[[#This Row],[2021 Member Months]]=0,"NA",SUMIFS(ACOAETME2021[[#All],[Claims: Pharmacy]], ACOAETME2021[[#All],[Insurance Category Code]], $E$118, ACOAETME2021[[#All],[ACO/AE or Insurer Overall Organization ID]], ValbyACO_ICC5[[#This Row],[Org ID]])/ValbyACO_ICC5[[#This Row],[2021 Member Months]]), "NA")</f>
        <v>NA</v>
      </c>
      <c r="K125" s="341" t="str">
        <f>IFERROR(IF(ValbyACO_ICC5[[#This Row],[2021 Member Months]]=0,"NA",SUMIFS(ACOAETME2021[[#All],[Claims: Long-Term Care]], ACOAETME2021[[#All],[Insurance Category Code]], $E$118, ACOAETME2021[[#All],[ACO/AE or Insurer Overall Organization ID]], ValbyACO_ICC5[[#This Row],[Org ID]])/ValbyACO_ICC5[[#This Row],[2021 Member Months]]), "NA")</f>
        <v>NA</v>
      </c>
      <c r="L125" s="341" t="str">
        <f>IFERROR(IF(ValbyACO_ICC5[[#This Row],[2021 Member Months]]=0,"NA",SUMIFS(ACOAETME2021[[#All],[Claims: Other]], ACOAETME2021[[#All],[Insurance Category Code]], $E$118, ACOAETME2021[[#All],[ACO/AE or Insurer Overall Organization ID]], ValbyACO_ICC5[[#This Row],[Org ID]])/ValbyACO_ICC5[[#This Row],[2021 Member Months]]), "NA")</f>
        <v>NA</v>
      </c>
      <c r="M125" s="130" t="str">
        <f>IF(ValbyACO_ICC5[[#This Row],[2021 Member Months]]=0,"NA",SUMIFS(ACOAETME2021[[#All],[TOTAL Non-Truncated Unadjusted Claims Expenses]], ACOAETME2021[[#All],[Insurance Category Code]], $E$118, ACOAETME2021[[#All],[ACO/AE or Insurer Overall Organization ID]], ValbyACO_ICC5[[#This Row],[Org ID]])/ValbyACO_ICC5[[#This Row],[2021 Member Months]])</f>
        <v>NA</v>
      </c>
      <c r="N125" s="130" t="str">
        <f>IF(ValbyACO_ICC5[[#This Row],[2021 Member Months]]=0,"NA",SUMIFS(ACOAETME2021[[#All],[TOTAL Truncated Unadjusted Claims Expenses (A19 - A17)]], ACOAETME2021[[#All],[Insurance Category Code]], $E$118, ACOAETME2021[[#All],[ACO/AE or Insurer Overall Organization ID]], ValbyACO_ICC5[[#This Row],[Org ID]])/ValbyACO_ICC5[[#This Row],[2021 Member Months]])</f>
        <v>NA</v>
      </c>
      <c r="O125" s="130" t="str">
        <f>IF(ValbyACO_ICC5[[#This Row],[2021 Member Months]]=0,"NA",SUMIFS(ACOAETME2021[[#All],[TOTAL Non-Claims Expenses]], ACOAETME2021[[#All],[Insurance Category Code]], $E$118, ACOAETME2021[[#All],[ACO/AE or Insurer Overall Organization ID]], ValbyACO_ICC5[[#This Row],[Org ID]])/ValbyACO_ICC5[[#This Row],[2021 Member Months]])</f>
        <v>NA</v>
      </c>
      <c r="P125" s="341" t="str">
        <f>IF(ValbyACO_ICC5[[#This Row],[2021 Member Months]]=0, "NA", SUMIFS(ACOAETME2021[[#All],[TOTAL Non-Truncated Unadjusted Expenses 
(A19+A21)]], ACOAETME2021[[#All],[Insurance Category Code]], $E$118, ACOAETME2021[[#All],[ACO/AE or Insurer Overall Organization ID]], ValbyACO_ICC5[[#This Row],[Org ID]])/ValbyACO_ICC5[[#This Row],[2021 Member Months]])</f>
        <v>NA</v>
      </c>
      <c r="Q125" s="409" t="str">
        <f>IF(ValbyACO_ICC5[[#This Row],[2021 Member Months]]=0, "NA", SUMIFS(ACOAETME2021[[#All],[TOTAL Truncated Unadjusted Expenses (A20+A21)]], ACOAETME2021[[#All],[Insurance Category Code]], $E$118, ACOAETME2021[[#All],[ACO/AE or Insurer Overall Organization ID]], ValbyACO_ICC5[[#This Row],[Org ID]])/ValbyACO_ICC5[[#This Row],[2021 Member Months]])</f>
        <v>NA</v>
      </c>
      <c r="R125" s="304">
        <f>SUMIFS(ACOAETME2022[[#All],[Member Months]],ACOAETME2022[[#All],[Insurance Category Code]], $E$118,ACOAETME2022[[#All],[ACO/AE or Insurer Overall Organization ID]],ValbyACO_ICC5[[#This Row],[Org ID]])</f>
        <v>0</v>
      </c>
      <c r="S125" s="118" t="str">
        <f>IF(ValbyACO_ICC5[[#This Row],[2022 Member Months]]=0,"NA",SUMIFS(ACOAETME2022[[#All],[Claims: Hospital Inpatient]],ACOAETME2022[[#All],[Insurance Category Code]], $E$118,ACOAETME2022[[#All],[ACO/AE or Insurer Overall Organization ID]],ValbyACO_ICC5[[#This Row],[Org ID]])/ValbyACO_ICC5[[#This Row],[2022 Member Months]])</f>
        <v>NA</v>
      </c>
      <c r="T125" s="99" t="str">
        <f>IF(ValbyACO_ICC5[[#This Row],[2022 Member Months]]=0,"NA",SUMIFS(ACOAETME2022[[#All],[Claims: Hospital Outpatient]],ACOAETME2022[[#All],[Insurance Category Code]], $E$118,ACOAETME2022[[#All],[ACO/AE or Insurer Overall Organization ID]],ValbyACO_ICC5[[#This Row],[Org ID]])/ValbyACO_ICC5[[#This Row],[2022 Member Months]])</f>
        <v>NA</v>
      </c>
      <c r="U125" s="88" t="str">
        <f>IF(ValbyACO_ICC5[[#This Row],[2022 Member Months]]=0,"NA",SUMIFS(ACOAETME2022[[#All],[Claims: Professional, Primary Care]],ACOAETME2022[[#All],[Insurance Category Code]], $E$118,ACOAETME2022[[#All],[ACO/AE or Insurer Overall Organization ID]],ValbyACO_ICC5[[#This Row],[Org ID]])/ValbyACO_ICC5[[#This Row],[2022 Member Months]])</f>
        <v>NA</v>
      </c>
      <c r="V125" s="88" t="str">
        <f>IF(ValbyACO_ICC5[[#This Row],[2022 Member Months]]=0,"NA",SUMIFS(ACOAETME2022[[#All],[Claims: Professional, Specialty Care]],ACOAETME2022[[#All],[Insurance Category Code]], $E$118,ACOAETME2022[[#All],[ACO/AE or Insurer Overall Organization ID]],ValbyACO_ICC5[[#This Row],[Org ID]])/ValbyACO_ICC5[[#This Row],[2022 Member Months]])</f>
        <v>NA</v>
      </c>
      <c r="W125" s="88" t="str">
        <f>IF(ValbyACO_ICC5[[#This Row],[2022 Member Months]]=0,"NA",SUMIFS(ACOAETME2022[[#All],[Claims: Professional Other]],ACOAETME2022[[#All],[Insurance Category Code]], $E$118,ACOAETME2022[[#All],[ACO/AE or Insurer Overall Organization ID]],ValbyACO_ICC5[[#This Row],[Org ID]])/ValbyACO_ICC5[[#This Row],[2022 Member Months]])</f>
        <v>NA</v>
      </c>
      <c r="X125" s="88" t="str">
        <f>IF(ValbyACO_ICC5[[#This Row],[2022 Member Months]]=0,"NA",SUMIFS(ACOAETME2022[[#All],[Claims: Pharmacy]],ACOAETME2022[[#All],[Insurance Category Code]], $E$118,ACOAETME2022[[#All],[ACO/AE or Insurer Overall Organization ID]],ValbyACO_ICC5[[#This Row],[Org ID]])/ValbyACO_ICC5[[#This Row],[2022 Member Months]])</f>
        <v>NA</v>
      </c>
      <c r="Y125" s="88" t="str">
        <f>IF(ValbyACO_ICC5[[#This Row],[2022 Member Months]]=0,"NA",SUMIFS(ACOAETME2022[[#All],[Claims: Long-Term Care]],ACOAETME2022[[#All],[Insurance Category Code]], $E$118,ACOAETME2022[[#All],[ACO/AE or Insurer Overall Organization ID]],ValbyACO_ICC5[[#This Row],[Org ID]])/ValbyACO_ICC5[[#This Row],[2022 Member Months]])</f>
        <v>NA</v>
      </c>
      <c r="Z125" s="88" t="str">
        <f>IF(ValbyACO_ICC5[[#This Row],[2022 Member Months]]=0,"NA",SUMIFS(ACOAETME2022[[#All],[Claims: Other]],ACOAETME2022[[#All],[Insurance Category Code]], $E$118,ACOAETME2022[[#All],[ACO/AE or Insurer Overall Organization ID]],ValbyACO_ICC5[[#This Row],[Org ID]])/ValbyACO_ICC5[[#This Row],[2022 Member Months]])</f>
        <v>NA</v>
      </c>
      <c r="AA125" s="130" t="str">
        <f>IF(ValbyACO_ICC5[[#This Row],[2022 Member Months]]=0,"NA",SUMIFS(ACOAETME2022[[#All],[TOTAL Non-Truncated Unadjusted Claims Expenses]],ACOAETME2022[[#All],[Insurance Category Code]], $E$118,ACOAETME2022[[#All],[ACO/AE or Insurer Overall Organization ID]],ValbyACO_ICC5[[#This Row],[Org ID]])/ValbyACO_ICC5[[#This Row],[2022 Member Months]])</f>
        <v>NA</v>
      </c>
      <c r="AB125" s="130" t="str">
        <f>IF(ValbyACO_ICC5[[#This Row],[2022 Member Months]]=0,"NA",SUMIFS(ACOAETME2022[[#All],[TOTAL Truncated Unadjusted Expenses (A20+A21)]],ACOAETME2022[[#All],[Insurance Category Code]], $E$118,ACOAETME2022[[#All],[ACO/AE or Insurer Overall Organization ID]],ValbyACO_ICC5[[#This Row],[Org ID]])/ValbyACO_ICC5[[#This Row],[2022 Member Months]])</f>
        <v>NA</v>
      </c>
      <c r="AC125" s="130" t="str">
        <f>IF(ValbyACO_ICC5[[#This Row],[2022 Member Months]]=0,"NA",SUMIFS(ACOAETME2022[[#All],[TOTAL Non-Claims Expenses]],ACOAETME2022[[#All],[Insurance Category Code]], $E$118,ACOAETME2022[[#All],[ACO/AE or Insurer Overall Organization ID]],ValbyACO_ICC5[[#This Row],[Org ID]])/ValbyACO_ICC5[[#This Row],[2022 Member Months]])</f>
        <v>NA</v>
      </c>
      <c r="AD125" s="288" t="str">
        <f>IF(ValbyACO_ICC5[[#This Row],[2022 Member Months]]=0,"NA",SUMIFS(ACOAETME2022[[#All],[TOTAL Non-Truncated Unadjusted Expenses 
(A19+A21)]],ACOAETME2022[[#All],[Insurance Category Code]], $E$118,ACOAETME2022[[#All],[ACO/AE or Insurer Overall Organization ID]],ValbyACO_ICC5[[#This Row],[Org ID]])/ValbyACO_ICC5[[#This Row],[2022 Member Months]])</f>
        <v>NA</v>
      </c>
      <c r="AE125" s="119" t="str">
        <f>IF(ValbyACO_ICC5[[#This Row],[2022 Member Months]]=0,"NA",SUMIFS(ACOAETME2022[[#All],[TOTAL Truncated Unadjusted Expenses (A20+A21)]],ACOAETME2022[[#All],[Insurance Category Code]],$E$118,ACOAETME2022[[#All],[ACO/AE or Insurer Overall Organization ID]],ValbyACO_ICC5[[#This Row],[Org ID]])/ValbyACO_ICC5[[#This Row],[2022 Member Months]])</f>
        <v>NA</v>
      </c>
      <c r="AF125" s="161" t="str">
        <f>IFERROR(IF(ValbyACO_ICC5[[#This Row],[2021 Member Months]]=0,"NA",ValbyACO_ICC5[[#This Row],[2022 Member Months]]/ValbyACO_ICC5[[#This Row],[2021 Member Months]]-1),"NA")</f>
        <v>NA</v>
      </c>
      <c r="AG125" s="161" t="str">
        <f>IFERROR(IF(ValbyACO_ICC5[[#This Row],[2021 Member Months]]=0,"NA",ValbyACO_ICC5[[#This Row],[2022 Claims: Hospital Inpatient]]/ValbyACO_ICC5[[#This Row],[2021 Claims: Hospital Inpatient]]-1),"NA")</f>
        <v>NA</v>
      </c>
      <c r="AH125" s="162" t="str">
        <f>IFERROR(IF(ValbyACO_ICC5[[#This Row],[2021 Member Months]]=0,"NA",ValbyACO_ICC5[[#This Row],[2022 Claims: Hospital Outpatient]]/ValbyACO_ICC5[[#This Row],[2021 Claims: Hospital Outpatient]]-1),"NA")</f>
        <v>NA</v>
      </c>
      <c r="AI125" s="162" t="str">
        <f>IFERROR(IF(ValbyACO_ICC5[[#This Row],[2021 Member Months]]=0,"NA",ValbyACO_ICC5[[#This Row],[2022 Claims: Professional, Primary Care]]/ValbyACO_ICC5[[#This Row],[2021 Claims: Professional, Primary Care]]-1),"NA")</f>
        <v>NA</v>
      </c>
      <c r="AJ125" s="162" t="str">
        <f>IFERROR(IF(ValbyACO_ICC5[[#This Row],[2021 Member Months]]=0,"NA",ValbyACO_ICC5[[#This Row],[2022 Claims: Professional, Specialty Care]]/ValbyACO_ICC5[[#This Row],[2021 Claims: Professional, Specialty Care]]-1),"NA")</f>
        <v>NA</v>
      </c>
      <c r="AK125" s="162" t="str">
        <f>IFERROR(IF(ValbyACO_ICC5[[#This Row],[2021 Member Months]]=0,"NA", ValbyACO_ICC5[[#This Row],[2022 Claims: Professional Other]]/ValbyACO_ICC5[[#This Row],[2021 Claims: Professional Other]]-1),"NA")</f>
        <v>NA</v>
      </c>
      <c r="AL125" s="162" t="str">
        <f>IFERROR(IF(ValbyACO_ICC5[[#This Row],[2021 Member Months]]=0,"NA",ValbyACO_ICC5[[#This Row],[2022 Claims: Pharmacy (Gross of Retail Pharmacy Rebates)]]/ValbyACO_ICC5[[#This Row],[2021 Claims: Pharmacy (Gross of  Rebates)]]-1),"NA")</f>
        <v>NA</v>
      </c>
      <c r="AM125" s="162" t="str">
        <f>IFERROR(IF(ValbyACO_ICC5[[#This Row],[2021 Member Months]]=0,"NA",ValbyACO_ICC5[[#This Row],[2022 Claims: Long-term Care]]/ValbyACO_ICC5[[#This Row],[2021 Claims: Long-term Care]]-1),"NA")</f>
        <v>NA</v>
      </c>
      <c r="AN125" s="162" t="str">
        <f>IFERROR(IF(ValbyACO_ICC5[[#This Row],[2021 Member Months]]=0,"NA",ValbyACO_ICC5[[#This Row],[2022 Claims: Other]]/ValbyACO_ICC5[[#This Row],[2021 Claims: Other]]-1),"NA")</f>
        <v>NA</v>
      </c>
      <c r="AO125" s="163" t="str">
        <f>IFERROR(IF(ValbyACO_ICC5[[#This Row],[2021 Member Months]]=0,"NA",ValbyACO_ICC5[[#This Row],[2022 TOTAL Non-Truncated Claims Expenses]]/ValbyACO_ICC5[[#This Row],[2021 TOTAL Non-Truncated Claims Expenses]]-1),"NA")</f>
        <v>NA</v>
      </c>
      <c r="AP125" s="163" t="str">
        <f>IFERROR(IF(ValbyACO_ICC5[[#This Row],[2021 Member Months]]=0,"NA",ValbyACO_ICC5[[#This Row],[2022 TOTAL Truncated Claims Expenses]]/ValbyACO_ICC5[[#This Row],[2021 TOTAL Truncated Claims Expenses]]-1),"NA")</f>
        <v>NA</v>
      </c>
      <c r="AQ125" s="163" t="str">
        <f>IFERROR(IF(ValbyACO_ICC5[[#This Row],[2021 Member Months]]=0,"NA",ValbyACO_ICC5[[#This Row],[2022 TOTAL Non-Claims Expenses]]/ValbyACO_ICC5[[#This Row],[2021 TOTAL Non-Claims Expenses]]-1),"NA")</f>
        <v>NA</v>
      </c>
      <c r="AR125" s="163" t="str">
        <f>IFERROR(IF(ValbyACO_ICC5[[#This Row],[2021 Member Months]]=0,"NA",ValbyACO_ICC5[[#This Row],[2022 TOTAL Non-Truncated Total Expenses]]/ValbyACO_ICC5[[#This Row],[2021 TOTAL Non-Truncated Total Expenses]]-1),"NA")</f>
        <v>NA</v>
      </c>
      <c r="AS125" s="163" t="str">
        <f>IFERROR(IF(ValbyACO_ICC5[[#This Row],[2021 Member Months]]=0,"NA",ValbyACO_ICC5[[#This Row],[2022 TOTAL Truncated Total Expenses]]/ValbyACO_ICC5[[#This Row],[2021 TOTAL Truncated Total Expenses]]-1),"NA")</f>
        <v>NA</v>
      </c>
    </row>
    <row r="126" spans="1:45" x14ac:dyDescent="0.35">
      <c r="A126" s="129"/>
      <c r="B126" s="250">
        <v>107</v>
      </c>
      <c r="C126" s="291" t="s">
        <v>171</v>
      </c>
      <c r="D126" s="120">
        <f>SUMIFS(ACOAETME2021[[#All],[Member Months]], ACOAETME2021[[#All],[Insurance Category Code]], $E$118, ACOAETME2021[[#All],[ACO/AE or Insurer Overall Organization ID]], ValbyACO_ICC5[[#This Row],[Org ID]])</f>
        <v>0</v>
      </c>
      <c r="E126" s="268" t="str">
        <f>IFERROR(IF(ValbyACO_ICC5[[#This Row],[2021 Member Months]]=0,"NA",SUMIFS(ACOAETME2021[[#All],[Claims: Hospital Inpatient]], ACOAETME2021[[#All],[Insurance Category Code]], $E$118, ACOAETME2021[[#All],[ACO/AE or Insurer Overall Organization ID]], ValbyACO_ICC5[[#This Row],[Org ID]])/ValbyACO_ICC5[[#This Row],[2021 Member Months]]), "NA")</f>
        <v>NA</v>
      </c>
      <c r="F126" s="419" t="str">
        <f>IFERROR(IF(ValbyACO_ICC5[[#This Row],[2021 Member Months]]=0,"NA",SUMIFS(ACOAETME2021[[#All],[Claims: Hospital Outpatient]], ACOAETME2021[[#All],[Insurance Category Code]], $E$118, ACOAETME2021[[#All],[ACO/AE or Insurer Overall Organization ID]], ValbyACO_ICC5[[#This Row],[Org ID]])/ValbyACO_ICC5[[#This Row],[2021 Member Months]]), "NA")</f>
        <v>NA</v>
      </c>
      <c r="G126" s="341" t="str">
        <f>IFERROR(IF(ValbyACO_ICC5[[#This Row],[2021 Member Months]]=0,"NA",SUMIFS(ACOAETME2021[[#All],[Claims: Professional, Primary Care]], ACOAETME2021[[#All],[Insurance Category Code]], $E$118, ACOAETME2021[[#All],[ACO/AE or Insurer Overall Organization ID]], ValbyACO_ICC5[[#This Row],[Org ID]])/ValbyACO_ICC5[[#This Row],[2021 Member Months]]), "NA")</f>
        <v>NA</v>
      </c>
      <c r="H126" s="341" t="str">
        <f>IFERROR(IF(ValbyACO_ICC5[[#This Row],[2021 Member Months]]=0,"NA",SUMIFS(ACOAETME2021[[#All],[Claims: Professional, Specialty Care]], ACOAETME2021[[#All],[Insurance Category Code]], $E$118, ACOAETME2021[[#All],[ACO/AE or Insurer Overall Organization ID]], ValbyACO_ICC5[[#This Row],[Org ID]])/ValbyACO_ICC5[[#This Row],[2021 Member Months]]), "NA")</f>
        <v>NA</v>
      </c>
      <c r="I126" s="341" t="str">
        <f>IFERROR(IF(ValbyACO_ICC5[[#This Row],[2021 Member Months]]=0,"NA",SUMIFS(ACOAETME2021[[#All],[Claims: Professional Other]], ACOAETME2021[[#All],[Insurance Category Code]], $E$118, ACOAETME2021[[#All],[ACO/AE or Insurer Overall Organization ID]], ValbyACO_ICC5[[#This Row],[Org ID]])/ValbyACO_ICC5[[#This Row],[2021 Member Months]]), "NA")</f>
        <v>NA</v>
      </c>
      <c r="J126" s="341" t="str">
        <f>IFERROR(IF(ValbyACO_ICC5[[#This Row],[2021 Member Months]]=0,"NA",SUMIFS(ACOAETME2021[[#All],[Claims: Pharmacy]], ACOAETME2021[[#All],[Insurance Category Code]], $E$118, ACOAETME2021[[#All],[ACO/AE or Insurer Overall Organization ID]], ValbyACO_ICC5[[#This Row],[Org ID]])/ValbyACO_ICC5[[#This Row],[2021 Member Months]]), "NA")</f>
        <v>NA</v>
      </c>
      <c r="K126" s="341" t="str">
        <f>IFERROR(IF(ValbyACO_ICC5[[#This Row],[2021 Member Months]]=0,"NA",SUMIFS(ACOAETME2021[[#All],[Claims: Long-Term Care]], ACOAETME2021[[#All],[Insurance Category Code]], $E$118, ACOAETME2021[[#All],[ACO/AE or Insurer Overall Organization ID]], ValbyACO_ICC5[[#This Row],[Org ID]])/ValbyACO_ICC5[[#This Row],[2021 Member Months]]), "NA")</f>
        <v>NA</v>
      </c>
      <c r="L126" s="341" t="str">
        <f>IFERROR(IF(ValbyACO_ICC5[[#This Row],[2021 Member Months]]=0,"NA",SUMIFS(ACOAETME2021[[#All],[Claims: Other]], ACOAETME2021[[#All],[Insurance Category Code]], $E$118, ACOAETME2021[[#All],[ACO/AE or Insurer Overall Organization ID]], ValbyACO_ICC5[[#This Row],[Org ID]])/ValbyACO_ICC5[[#This Row],[2021 Member Months]]), "NA")</f>
        <v>NA</v>
      </c>
      <c r="M126" s="130" t="str">
        <f>IF(ValbyACO_ICC5[[#This Row],[2021 Member Months]]=0,"NA",SUMIFS(ACOAETME2021[[#All],[TOTAL Non-Truncated Unadjusted Claims Expenses]], ACOAETME2021[[#All],[Insurance Category Code]], $E$118, ACOAETME2021[[#All],[ACO/AE or Insurer Overall Organization ID]], ValbyACO_ICC5[[#This Row],[Org ID]])/ValbyACO_ICC5[[#This Row],[2021 Member Months]])</f>
        <v>NA</v>
      </c>
      <c r="N126" s="130" t="str">
        <f>IF(ValbyACO_ICC5[[#This Row],[2021 Member Months]]=0,"NA",SUMIFS(ACOAETME2021[[#All],[TOTAL Truncated Unadjusted Claims Expenses (A19 - A17)]], ACOAETME2021[[#All],[Insurance Category Code]], $E$118, ACOAETME2021[[#All],[ACO/AE or Insurer Overall Organization ID]], ValbyACO_ICC5[[#This Row],[Org ID]])/ValbyACO_ICC5[[#This Row],[2021 Member Months]])</f>
        <v>NA</v>
      </c>
      <c r="O126" s="130" t="str">
        <f>IF(ValbyACO_ICC5[[#This Row],[2021 Member Months]]=0,"NA",SUMIFS(ACOAETME2021[[#All],[TOTAL Non-Claims Expenses]], ACOAETME2021[[#All],[Insurance Category Code]], $E$118, ACOAETME2021[[#All],[ACO/AE or Insurer Overall Organization ID]], ValbyACO_ICC5[[#This Row],[Org ID]])/ValbyACO_ICC5[[#This Row],[2021 Member Months]])</f>
        <v>NA</v>
      </c>
      <c r="P126" s="341" t="str">
        <f>IF(ValbyACO_ICC5[[#This Row],[2021 Member Months]]=0, "NA", SUMIFS(ACOAETME2021[[#All],[TOTAL Non-Truncated Unadjusted Expenses 
(A19+A21)]], ACOAETME2021[[#All],[Insurance Category Code]], $E$118, ACOAETME2021[[#All],[ACO/AE or Insurer Overall Organization ID]], ValbyACO_ICC5[[#This Row],[Org ID]])/ValbyACO_ICC5[[#This Row],[2021 Member Months]])</f>
        <v>NA</v>
      </c>
      <c r="Q126" s="409" t="str">
        <f>IF(ValbyACO_ICC5[[#This Row],[2021 Member Months]]=0, "NA", SUMIFS(ACOAETME2021[[#All],[TOTAL Truncated Unadjusted Expenses (A20+A21)]], ACOAETME2021[[#All],[Insurance Category Code]], $E$118, ACOAETME2021[[#All],[ACO/AE or Insurer Overall Organization ID]], ValbyACO_ICC5[[#This Row],[Org ID]])/ValbyACO_ICC5[[#This Row],[2021 Member Months]])</f>
        <v>NA</v>
      </c>
      <c r="R126" s="304">
        <f>SUMIFS(ACOAETME2022[[#All],[Member Months]],ACOAETME2022[[#All],[Insurance Category Code]], $E$118,ACOAETME2022[[#All],[ACO/AE or Insurer Overall Organization ID]],ValbyACO_ICC5[[#This Row],[Org ID]])</f>
        <v>0</v>
      </c>
      <c r="S126" s="118" t="str">
        <f>IF(ValbyACO_ICC5[[#This Row],[2022 Member Months]]=0,"NA",SUMIFS(ACOAETME2022[[#All],[Claims: Hospital Inpatient]],ACOAETME2022[[#All],[Insurance Category Code]], $E$118,ACOAETME2022[[#All],[ACO/AE or Insurer Overall Organization ID]],ValbyACO_ICC5[[#This Row],[Org ID]])/ValbyACO_ICC5[[#This Row],[2022 Member Months]])</f>
        <v>NA</v>
      </c>
      <c r="T126" s="99" t="str">
        <f>IF(ValbyACO_ICC5[[#This Row],[2022 Member Months]]=0,"NA",SUMIFS(ACOAETME2022[[#All],[Claims: Hospital Outpatient]],ACOAETME2022[[#All],[Insurance Category Code]], $E$118,ACOAETME2022[[#All],[ACO/AE or Insurer Overall Organization ID]],ValbyACO_ICC5[[#This Row],[Org ID]])/ValbyACO_ICC5[[#This Row],[2022 Member Months]])</f>
        <v>NA</v>
      </c>
      <c r="U126" s="88" t="str">
        <f>IF(ValbyACO_ICC5[[#This Row],[2022 Member Months]]=0,"NA",SUMIFS(ACOAETME2022[[#All],[Claims: Professional, Primary Care]],ACOAETME2022[[#All],[Insurance Category Code]], $E$118,ACOAETME2022[[#All],[ACO/AE or Insurer Overall Organization ID]],ValbyACO_ICC5[[#This Row],[Org ID]])/ValbyACO_ICC5[[#This Row],[2022 Member Months]])</f>
        <v>NA</v>
      </c>
      <c r="V126" s="88" t="str">
        <f>IF(ValbyACO_ICC5[[#This Row],[2022 Member Months]]=0,"NA",SUMIFS(ACOAETME2022[[#All],[Claims: Professional, Specialty Care]],ACOAETME2022[[#All],[Insurance Category Code]], $E$118,ACOAETME2022[[#All],[ACO/AE or Insurer Overall Organization ID]],ValbyACO_ICC5[[#This Row],[Org ID]])/ValbyACO_ICC5[[#This Row],[2022 Member Months]])</f>
        <v>NA</v>
      </c>
      <c r="W126" s="88" t="str">
        <f>IF(ValbyACO_ICC5[[#This Row],[2022 Member Months]]=0,"NA",SUMIFS(ACOAETME2022[[#All],[Claims: Professional Other]],ACOAETME2022[[#All],[Insurance Category Code]], $E$118,ACOAETME2022[[#All],[ACO/AE or Insurer Overall Organization ID]],ValbyACO_ICC5[[#This Row],[Org ID]])/ValbyACO_ICC5[[#This Row],[2022 Member Months]])</f>
        <v>NA</v>
      </c>
      <c r="X126" s="88" t="str">
        <f>IF(ValbyACO_ICC5[[#This Row],[2022 Member Months]]=0,"NA",SUMIFS(ACOAETME2022[[#All],[Claims: Pharmacy]],ACOAETME2022[[#All],[Insurance Category Code]], $E$118,ACOAETME2022[[#All],[ACO/AE or Insurer Overall Organization ID]],ValbyACO_ICC5[[#This Row],[Org ID]])/ValbyACO_ICC5[[#This Row],[2022 Member Months]])</f>
        <v>NA</v>
      </c>
      <c r="Y126" s="88" t="str">
        <f>IF(ValbyACO_ICC5[[#This Row],[2022 Member Months]]=0,"NA",SUMIFS(ACOAETME2022[[#All],[Claims: Long-Term Care]],ACOAETME2022[[#All],[Insurance Category Code]], $E$118,ACOAETME2022[[#All],[ACO/AE or Insurer Overall Organization ID]],ValbyACO_ICC5[[#This Row],[Org ID]])/ValbyACO_ICC5[[#This Row],[2022 Member Months]])</f>
        <v>NA</v>
      </c>
      <c r="Z126" s="88" t="str">
        <f>IF(ValbyACO_ICC5[[#This Row],[2022 Member Months]]=0,"NA",SUMIFS(ACOAETME2022[[#All],[Claims: Other]],ACOAETME2022[[#All],[Insurance Category Code]], $E$118,ACOAETME2022[[#All],[ACO/AE or Insurer Overall Organization ID]],ValbyACO_ICC5[[#This Row],[Org ID]])/ValbyACO_ICC5[[#This Row],[2022 Member Months]])</f>
        <v>NA</v>
      </c>
      <c r="AA126" s="130" t="str">
        <f>IF(ValbyACO_ICC5[[#This Row],[2022 Member Months]]=0,"NA",SUMIFS(ACOAETME2022[[#All],[TOTAL Non-Truncated Unadjusted Claims Expenses]],ACOAETME2022[[#All],[Insurance Category Code]], $E$118,ACOAETME2022[[#All],[ACO/AE or Insurer Overall Organization ID]],ValbyACO_ICC5[[#This Row],[Org ID]])/ValbyACO_ICC5[[#This Row],[2022 Member Months]])</f>
        <v>NA</v>
      </c>
      <c r="AB126" s="130" t="str">
        <f>IF(ValbyACO_ICC5[[#This Row],[2022 Member Months]]=0,"NA",SUMIFS(ACOAETME2022[[#All],[TOTAL Truncated Unadjusted Expenses (A20+A21)]],ACOAETME2022[[#All],[Insurance Category Code]], $E$118,ACOAETME2022[[#All],[ACO/AE or Insurer Overall Organization ID]],ValbyACO_ICC5[[#This Row],[Org ID]])/ValbyACO_ICC5[[#This Row],[2022 Member Months]])</f>
        <v>NA</v>
      </c>
      <c r="AC126" s="130" t="str">
        <f>IF(ValbyACO_ICC5[[#This Row],[2022 Member Months]]=0,"NA",SUMIFS(ACOAETME2022[[#All],[TOTAL Non-Claims Expenses]],ACOAETME2022[[#All],[Insurance Category Code]], $E$118,ACOAETME2022[[#All],[ACO/AE or Insurer Overall Organization ID]],ValbyACO_ICC5[[#This Row],[Org ID]])/ValbyACO_ICC5[[#This Row],[2022 Member Months]])</f>
        <v>NA</v>
      </c>
      <c r="AD126" s="288" t="str">
        <f>IF(ValbyACO_ICC5[[#This Row],[2022 Member Months]]=0,"NA",SUMIFS(ACOAETME2022[[#All],[TOTAL Non-Truncated Unadjusted Expenses 
(A19+A21)]],ACOAETME2022[[#All],[Insurance Category Code]], $E$118,ACOAETME2022[[#All],[ACO/AE or Insurer Overall Organization ID]],ValbyACO_ICC5[[#This Row],[Org ID]])/ValbyACO_ICC5[[#This Row],[2022 Member Months]])</f>
        <v>NA</v>
      </c>
      <c r="AE126" s="119" t="str">
        <f>IF(ValbyACO_ICC5[[#This Row],[2022 Member Months]]=0,"NA",SUMIFS(ACOAETME2022[[#All],[TOTAL Truncated Unadjusted Expenses (A20+A21)]],ACOAETME2022[[#All],[Insurance Category Code]],$E$118,ACOAETME2022[[#All],[ACO/AE or Insurer Overall Organization ID]],ValbyACO_ICC5[[#This Row],[Org ID]])/ValbyACO_ICC5[[#This Row],[2022 Member Months]])</f>
        <v>NA</v>
      </c>
      <c r="AF126" s="161" t="str">
        <f>IFERROR(IF(ValbyACO_ICC5[[#This Row],[2021 Member Months]]=0,"NA",ValbyACO_ICC5[[#This Row],[2022 Member Months]]/ValbyACO_ICC5[[#This Row],[2021 Member Months]]-1),"NA")</f>
        <v>NA</v>
      </c>
      <c r="AG126" s="161" t="str">
        <f>IFERROR(IF(ValbyACO_ICC5[[#This Row],[2021 Member Months]]=0,"NA",ValbyACO_ICC5[[#This Row],[2022 Claims: Hospital Inpatient]]/ValbyACO_ICC5[[#This Row],[2021 Claims: Hospital Inpatient]]-1),"NA")</f>
        <v>NA</v>
      </c>
      <c r="AH126" s="162" t="str">
        <f>IFERROR(IF(ValbyACO_ICC5[[#This Row],[2021 Member Months]]=0,"NA",ValbyACO_ICC5[[#This Row],[2022 Claims: Hospital Outpatient]]/ValbyACO_ICC5[[#This Row],[2021 Claims: Hospital Outpatient]]-1),"NA")</f>
        <v>NA</v>
      </c>
      <c r="AI126" s="162" t="str">
        <f>IFERROR(IF(ValbyACO_ICC5[[#This Row],[2021 Member Months]]=0,"NA",ValbyACO_ICC5[[#This Row],[2022 Claims: Professional, Primary Care]]/ValbyACO_ICC5[[#This Row],[2021 Claims: Professional, Primary Care]]-1),"NA")</f>
        <v>NA</v>
      </c>
      <c r="AJ126" s="162" t="str">
        <f>IFERROR(IF(ValbyACO_ICC5[[#This Row],[2021 Member Months]]=0,"NA",ValbyACO_ICC5[[#This Row],[2022 Claims: Professional, Specialty Care]]/ValbyACO_ICC5[[#This Row],[2021 Claims: Professional, Specialty Care]]-1),"NA")</f>
        <v>NA</v>
      </c>
      <c r="AK126" s="162" t="str">
        <f>IFERROR(IF(ValbyACO_ICC5[[#This Row],[2021 Member Months]]=0,"NA", ValbyACO_ICC5[[#This Row],[2022 Claims: Professional Other]]/ValbyACO_ICC5[[#This Row],[2021 Claims: Professional Other]]-1),"NA")</f>
        <v>NA</v>
      </c>
      <c r="AL126" s="162" t="str">
        <f>IFERROR(IF(ValbyACO_ICC5[[#This Row],[2021 Member Months]]=0,"NA",ValbyACO_ICC5[[#This Row],[2022 Claims: Pharmacy (Gross of Retail Pharmacy Rebates)]]/ValbyACO_ICC5[[#This Row],[2021 Claims: Pharmacy (Gross of  Rebates)]]-1),"NA")</f>
        <v>NA</v>
      </c>
      <c r="AM126" s="162" t="str">
        <f>IFERROR(IF(ValbyACO_ICC5[[#This Row],[2021 Member Months]]=0,"NA",ValbyACO_ICC5[[#This Row],[2022 Claims: Long-term Care]]/ValbyACO_ICC5[[#This Row],[2021 Claims: Long-term Care]]-1),"NA")</f>
        <v>NA</v>
      </c>
      <c r="AN126" s="162" t="str">
        <f>IFERROR(IF(ValbyACO_ICC5[[#This Row],[2021 Member Months]]=0,"NA",ValbyACO_ICC5[[#This Row],[2022 Claims: Other]]/ValbyACO_ICC5[[#This Row],[2021 Claims: Other]]-1),"NA")</f>
        <v>NA</v>
      </c>
      <c r="AO126" s="163" t="str">
        <f>IFERROR(IF(ValbyACO_ICC5[[#This Row],[2021 Member Months]]=0,"NA",ValbyACO_ICC5[[#This Row],[2022 TOTAL Non-Truncated Claims Expenses]]/ValbyACO_ICC5[[#This Row],[2021 TOTAL Non-Truncated Claims Expenses]]-1),"NA")</f>
        <v>NA</v>
      </c>
      <c r="AP126" s="163" t="str">
        <f>IFERROR(IF(ValbyACO_ICC5[[#This Row],[2021 Member Months]]=0,"NA",ValbyACO_ICC5[[#This Row],[2022 TOTAL Truncated Claims Expenses]]/ValbyACO_ICC5[[#This Row],[2021 TOTAL Truncated Claims Expenses]]-1),"NA")</f>
        <v>NA</v>
      </c>
      <c r="AQ126" s="163" t="str">
        <f>IFERROR(IF(ValbyACO_ICC5[[#This Row],[2021 Member Months]]=0,"NA",ValbyACO_ICC5[[#This Row],[2022 TOTAL Non-Claims Expenses]]/ValbyACO_ICC5[[#This Row],[2021 TOTAL Non-Claims Expenses]]-1),"NA")</f>
        <v>NA</v>
      </c>
      <c r="AR126" s="163" t="str">
        <f>IFERROR(IF(ValbyACO_ICC5[[#This Row],[2021 Member Months]]=0,"NA",ValbyACO_ICC5[[#This Row],[2022 TOTAL Non-Truncated Total Expenses]]/ValbyACO_ICC5[[#This Row],[2021 TOTAL Non-Truncated Total Expenses]]-1),"NA")</f>
        <v>NA</v>
      </c>
      <c r="AS126" s="163" t="str">
        <f>IFERROR(IF(ValbyACO_ICC5[[#This Row],[2021 Member Months]]=0,"NA",ValbyACO_ICC5[[#This Row],[2022 TOTAL Truncated Total Expenses]]/ValbyACO_ICC5[[#This Row],[2021 TOTAL Truncated Total Expenses]]-1),"NA")</f>
        <v>NA</v>
      </c>
    </row>
    <row r="127" spans="1:45" x14ac:dyDescent="0.35">
      <c r="A127" s="129"/>
      <c r="B127" s="250">
        <v>108</v>
      </c>
      <c r="C127" s="291" t="s">
        <v>508</v>
      </c>
      <c r="D127" s="120">
        <f>SUMIFS(ACOAETME2021[[#All],[Member Months]], ACOAETME2021[[#All],[Insurance Category Code]], $E$118, ACOAETME2021[[#All],[ACO/AE or Insurer Overall Organization ID]], ValbyACO_ICC5[[#This Row],[Org ID]])</f>
        <v>0</v>
      </c>
      <c r="E127" s="268" t="str">
        <f>IFERROR(IF(ValbyACO_ICC5[[#This Row],[2021 Member Months]]=0,"NA",SUMIFS(ACOAETME2021[[#All],[Claims: Hospital Inpatient]], ACOAETME2021[[#All],[Insurance Category Code]], $E$118, ACOAETME2021[[#All],[ACO/AE or Insurer Overall Organization ID]], ValbyACO_ICC5[[#This Row],[Org ID]])/ValbyACO_ICC5[[#This Row],[2021 Member Months]]), "NA")</f>
        <v>NA</v>
      </c>
      <c r="F127" s="419" t="str">
        <f>IFERROR(IF(ValbyACO_ICC5[[#This Row],[2021 Member Months]]=0,"NA",SUMIFS(ACOAETME2021[[#All],[Claims: Hospital Outpatient]], ACOAETME2021[[#All],[Insurance Category Code]], $E$118, ACOAETME2021[[#All],[ACO/AE or Insurer Overall Organization ID]], ValbyACO_ICC5[[#This Row],[Org ID]])/ValbyACO_ICC5[[#This Row],[2021 Member Months]]), "NA")</f>
        <v>NA</v>
      </c>
      <c r="G127" s="341" t="str">
        <f>IFERROR(IF(ValbyACO_ICC5[[#This Row],[2021 Member Months]]=0,"NA",SUMIFS(ACOAETME2021[[#All],[Claims: Professional, Primary Care]], ACOAETME2021[[#All],[Insurance Category Code]], $E$118, ACOAETME2021[[#All],[ACO/AE or Insurer Overall Organization ID]], ValbyACO_ICC5[[#This Row],[Org ID]])/ValbyACO_ICC5[[#This Row],[2021 Member Months]]), "NA")</f>
        <v>NA</v>
      </c>
      <c r="H127" s="341" t="str">
        <f>IFERROR(IF(ValbyACO_ICC5[[#This Row],[2021 Member Months]]=0,"NA",SUMIFS(ACOAETME2021[[#All],[Claims: Professional, Specialty Care]], ACOAETME2021[[#All],[Insurance Category Code]], $E$118, ACOAETME2021[[#All],[ACO/AE or Insurer Overall Organization ID]], ValbyACO_ICC5[[#This Row],[Org ID]])/ValbyACO_ICC5[[#This Row],[2021 Member Months]]), "NA")</f>
        <v>NA</v>
      </c>
      <c r="I127" s="341" t="str">
        <f>IFERROR(IF(ValbyACO_ICC5[[#This Row],[2021 Member Months]]=0,"NA",SUMIFS(ACOAETME2021[[#All],[Claims: Professional Other]], ACOAETME2021[[#All],[Insurance Category Code]], $E$118, ACOAETME2021[[#All],[ACO/AE or Insurer Overall Organization ID]], ValbyACO_ICC5[[#This Row],[Org ID]])/ValbyACO_ICC5[[#This Row],[2021 Member Months]]), "NA")</f>
        <v>NA</v>
      </c>
      <c r="J127" s="341" t="str">
        <f>IFERROR(IF(ValbyACO_ICC5[[#This Row],[2021 Member Months]]=0,"NA",SUMIFS(ACOAETME2021[[#All],[Claims: Pharmacy]], ACOAETME2021[[#All],[Insurance Category Code]], $E$118, ACOAETME2021[[#All],[ACO/AE or Insurer Overall Organization ID]], ValbyACO_ICC5[[#This Row],[Org ID]])/ValbyACO_ICC5[[#This Row],[2021 Member Months]]), "NA")</f>
        <v>NA</v>
      </c>
      <c r="K127" s="341" t="str">
        <f>IFERROR(IF(ValbyACO_ICC5[[#This Row],[2021 Member Months]]=0,"NA",SUMIFS(ACOAETME2021[[#All],[Claims: Long-Term Care]], ACOAETME2021[[#All],[Insurance Category Code]], $E$118, ACOAETME2021[[#All],[ACO/AE or Insurer Overall Organization ID]], ValbyACO_ICC5[[#This Row],[Org ID]])/ValbyACO_ICC5[[#This Row],[2021 Member Months]]), "NA")</f>
        <v>NA</v>
      </c>
      <c r="L127" s="341" t="str">
        <f>IFERROR(IF(ValbyACO_ICC5[[#This Row],[2021 Member Months]]=0,"NA",SUMIFS(ACOAETME2021[[#All],[Claims: Other]], ACOAETME2021[[#All],[Insurance Category Code]], $E$118, ACOAETME2021[[#All],[ACO/AE or Insurer Overall Organization ID]], ValbyACO_ICC5[[#This Row],[Org ID]])/ValbyACO_ICC5[[#This Row],[2021 Member Months]]), "NA")</f>
        <v>NA</v>
      </c>
      <c r="M127" s="130" t="str">
        <f>IF(ValbyACO_ICC5[[#This Row],[2021 Member Months]]=0,"NA",SUMIFS(ACOAETME2021[[#All],[TOTAL Non-Truncated Unadjusted Claims Expenses]], ACOAETME2021[[#All],[Insurance Category Code]], $E$118, ACOAETME2021[[#All],[ACO/AE or Insurer Overall Organization ID]], ValbyACO_ICC5[[#This Row],[Org ID]])/ValbyACO_ICC5[[#This Row],[2021 Member Months]])</f>
        <v>NA</v>
      </c>
      <c r="N127" s="130" t="str">
        <f>IF(ValbyACO_ICC5[[#This Row],[2021 Member Months]]=0,"NA",SUMIFS(ACOAETME2021[[#All],[TOTAL Truncated Unadjusted Claims Expenses (A19 - A17)]], ACOAETME2021[[#All],[Insurance Category Code]], $E$118, ACOAETME2021[[#All],[ACO/AE or Insurer Overall Organization ID]], ValbyACO_ICC5[[#This Row],[Org ID]])/ValbyACO_ICC5[[#This Row],[2021 Member Months]])</f>
        <v>NA</v>
      </c>
      <c r="O127" s="130" t="str">
        <f>IF(ValbyACO_ICC5[[#This Row],[2021 Member Months]]=0,"NA",SUMIFS(ACOAETME2021[[#All],[TOTAL Non-Claims Expenses]], ACOAETME2021[[#All],[Insurance Category Code]], $E$118, ACOAETME2021[[#All],[ACO/AE or Insurer Overall Organization ID]], ValbyACO_ICC5[[#This Row],[Org ID]])/ValbyACO_ICC5[[#This Row],[2021 Member Months]])</f>
        <v>NA</v>
      </c>
      <c r="P127" s="341" t="str">
        <f>IF(ValbyACO_ICC5[[#This Row],[2021 Member Months]]=0, "NA", SUMIFS(ACOAETME2021[[#All],[TOTAL Non-Truncated Unadjusted Expenses 
(A19+A21)]], ACOAETME2021[[#All],[Insurance Category Code]], $E$118, ACOAETME2021[[#All],[ACO/AE or Insurer Overall Organization ID]], ValbyACO_ICC5[[#This Row],[Org ID]])/ValbyACO_ICC5[[#This Row],[2021 Member Months]])</f>
        <v>NA</v>
      </c>
      <c r="Q127" s="409" t="str">
        <f>IF(ValbyACO_ICC5[[#This Row],[2021 Member Months]]=0, "NA", SUMIFS(ACOAETME2021[[#All],[TOTAL Truncated Unadjusted Expenses (A20+A21)]], ACOAETME2021[[#All],[Insurance Category Code]], $E$118, ACOAETME2021[[#All],[ACO/AE or Insurer Overall Organization ID]], ValbyACO_ICC5[[#This Row],[Org ID]])/ValbyACO_ICC5[[#This Row],[2021 Member Months]])</f>
        <v>NA</v>
      </c>
      <c r="R127" s="304">
        <f>SUMIFS(ACOAETME2022[[#All],[Member Months]],ACOAETME2022[[#All],[Insurance Category Code]], $E$118,ACOAETME2022[[#All],[ACO/AE or Insurer Overall Organization ID]],ValbyACO_ICC5[[#This Row],[Org ID]])</f>
        <v>0</v>
      </c>
      <c r="S127" s="118" t="str">
        <f>IF(ValbyACO_ICC5[[#This Row],[2022 Member Months]]=0,"NA",SUMIFS(ACOAETME2022[[#All],[Claims: Hospital Inpatient]],ACOAETME2022[[#All],[Insurance Category Code]], $E$118,ACOAETME2022[[#All],[ACO/AE or Insurer Overall Organization ID]],ValbyACO_ICC5[[#This Row],[Org ID]])/ValbyACO_ICC5[[#This Row],[2022 Member Months]])</f>
        <v>NA</v>
      </c>
      <c r="T127" s="99" t="str">
        <f>IF(ValbyACO_ICC5[[#This Row],[2022 Member Months]]=0,"NA",SUMIFS(ACOAETME2022[[#All],[Claims: Hospital Outpatient]],ACOAETME2022[[#All],[Insurance Category Code]], $E$118,ACOAETME2022[[#All],[ACO/AE or Insurer Overall Organization ID]],ValbyACO_ICC5[[#This Row],[Org ID]])/ValbyACO_ICC5[[#This Row],[2022 Member Months]])</f>
        <v>NA</v>
      </c>
      <c r="U127" s="88" t="str">
        <f>IF(ValbyACO_ICC5[[#This Row],[2022 Member Months]]=0,"NA",SUMIFS(ACOAETME2022[[#All],[Claims: Professional, Primary Care]],ACOAETME2022[[#All],[Insurance Category Code]], $E$118,ACOAETME2022[[#All],[ACO/AE or Insurer Overall Organization ID]],ValbyACO_ICC5[[#This Row],[Org ID]])/ValbyACO_ICC5[[#This Row],[2022 Member Months]])</f>
        <v>NA</v>
      </c>
      <c r="V127" s="88" t="str">
        <f>IF(ValbyACO_ICC5[[#This Row],[2022 Member Months]]=0,"NA",SUMIFS(ACOAETME2022[[#All],[Claims: Professional, Specialty Care]],ACOAETME2022[[#All],[Insurance Category Code]], $E$118,ACOAETME2022[[#All],[ACO/AE or Insurer Overall Organization ID]],ValbyACO_ICC5[[#This Row],[Org ID]])/ValbyACO_ICC5[[#This Row],[2022 Member Months]])</f>
        <v>NA</v>
      </c>
      <c r="W127" s="88" t="str">
        <f>IF(ValbyACO_ICC5[[#This Row],[2022 Member Months]]=0,"NA",SUMIFS(ACOAETME2022[[#All],[Claims: Professional Other]],ACOAETME2022[[#All],[Insurance Category Code]], $E$118,ACOAETME2022[[#All],[ACO/AE or Insurer Overall Organization ID]],ValbyACO_ICC5[[#This Row],[Org ID]])/ValbyACO_ICC5[[#This Row],[2022 Member Months]])</f>
        <v>NA</v>
      </c>
      <c r="X127" s="88" t="str">
        <f>IF(ValbyACO_ICC5[[#This Row],[2022 Member Months]]=0,"NA",SUMIFS(ACOAETME2022[[#All],[Claims: Pharmacy]],ACOAETME2022[[#All],[Insurance Category Code]], $E$118,ACOAETME2022[[#All],[ACO/AE or Insurer Overall Organization ID]],ValbyACO_ICC5[[#This Row],[Org ID]])/ValbyACO_ICC5[[#This Row],[2022 Member Months]])</f>
        <v>NA</v>
      </c>
      <c r="Y127" s="88" t="str">
        <f>IF(ValbyACO_ICC5[[#This Row],[2022 Member Months]]=0,"NA",SUMIFS(ACOAETME2022[[#All],[Claims: Long-Term Care]],ACOAETME2022[[#All],[Insurance Category Code]], $E$118,ACOAETME2022[[#All],[ACO/AE or Insurer Overall Organization ID]],ValbyACO_ICC5[[#This Row],[Org ID]])/ValbyACO_ICC5[[#This Row],[2022 Member Months]])</f>
        <v>NA</v>
      </c>
      <c r="Z127" s="88" t="str">
        <f>IF(ValbyACO_ICC5[[#This Row],[2022 Member Months]]=0,"NA",SUMIFS(ACOAETME2022[[#All],[Claims: Other]],ACOAETME2022[[#All],[Insurance Category Code]], $E$118,ACOAETME2022[[#All],[ACO/AE or Insurer Overall Organization ID]],ValbyACO_ICC5[[#This Row],[Org ID]])/ValbyACO_ICC5[[#This Row],[2022 Member Months]])</f>
        <v>NA</v>
      </c>
      <c r="AA127" s="130" t="str">
        <f>IF(ValbyACO_ICC5[[#This Row],[2022 Member Months]]=0,"NA",SUMIFS(ACOAETME2022[[#All],[TOTAL Non-Truncated Unadjusted Claims Expenses]],ACOAETME2022[[#All],[Insurance Category Code]], $E$118,ACOAETME2022[[#All],[ACO/AE or Insurer Overall Organization ID]],ValbyACO_ICC5[[#This Row],[Org ID]])/ValbyACO_ICC5[[#This Row],[2022 Member Months]])</f>
        <v>NA</v>
      </c>
      <c r="AB127" s="130" t="str">
        <f>IF(ValbyACO_ICC5[[#This Row],[2022 Member Months]]=0,"NA",SUMIFS(ACOAETME2022[[#All],[TOTAL Truncated Unadjusted Expenses (A20+A21)]],ACOAETME2022[[#All],[Insurance Category Code]], $E$118,ACOAETME2022[[#All],[ACO/AE or Insurer Overall Organization ID]],ValbyACO_ICC5[[#This Row],[Org ID]])/ValbyACO_ICC5[[#This Row],[2022 Member Months]])</f>
        <v>NA</v>
      </c>
      <c r="AC127" s="130" t="str">
        <f>IF(ValbyACO_ICC5[[#This Row],[2022 Member Months]]=0,"NA",SUMIFS(ACOAETME2022[[#All],[TOTAL Non-Claims Expenses]],ACOAETME2022[[#All],[Insurance Category Code]], $E$118,ACOAETME2022[[#All],[ACO/AE or Insurer Overall Organization ID]],ValbyACO_ICC5[[#This Row],[Org ID]])/ValbyACO_ICC5[[#This Row],[2022 Member Months]])</f>
        <v>NA</v>
      </c>
      <c r="AD127" s="288" t="str">
        <f>IF(ValbyACO_ICC5[[#This Row],[2022 Member Months]]=0,"NA",SUMIFS(ACOAETME2022[[#All],[TOTAL Non-Truncated Unadjusted Expenses 
(A19+A21)]],ACOAETME2022[[#All],[Insurance Category Code]], $E$118,ACOAETME2022[[#All],[ACO/AE or Insurer Overall Organization ID]],ValbyACO_ICC5[[#This Row],[Org ID]])/ValbyACO_ICC5[[#This Row],[2022 Member Months]])</f>
        <v>NA</v>
      </c>
      <c r="AE127" s="119" t="str">
        <f>IF(ValbyACO_ICC5[[#This Row],[2022 Member Months]]=0,"NA",SUMIFS(ACOAETME2022[[#All],[TOTAL Truncated Unadjusted Expenses (A20+A21)]],ACOAETME2022[[#All],[Insurance Category Code]],$E$118,ACOAETME2022[[#All],[ACO/AE or Insurer Overall Organization ID]],ValbyACO_ICC5[[#This Row],[Org ID]])/ValbyACO_ICC5[[#This Row],[2022 Member Months]])</f>
        <v>NA</v>
      </c>
      <c r="AF127" s="161" t="str">
        <f>IFERROR(IF(ValbyACO_ICC5[[#This Row],[2021 Member Months]]=0,"NA",ValbyACO_ICC5[[#This Row],[2022 Member Months]]/ValbyACO_ICC5[[#This Row],[2021 Member Months]]-1),"NA")</f>
        <v>NA</v>
      </c>
      <c r="AG127" s="161" t="str">
        <f>IFERROR(IF(ValbyACO_ICC5[[#This Row],[2021 Member Months]]=0,"NA",ValbyACO_ICC5[[#This Row],[2022 Claims: Hospital Inpatient]]/ValbyACO_ICC5[[#This Row],[2021 Claims: Hospital Inpatient]]-1),"NA")</f>
        <v>NA</v>
      </c>
      <c r="AH127" s="162" t="str">
        <f>IFERROR(IF(ValbyACO_ICC5[[#This Row],[2021 Member Months]]=0,"NA",ValbyACO_ICC5[[#This Row],[2022 Claims: Hospital Outpatient]]/ValbyACO_ICC5[[#This Row],[2021 Claims: Hospital Outpatient]]-1),"NA")</f>
        <v>NA</v>
      </c>
      <c r="AI127" s="162" t="str">
        <f>IFERROR(IF(ValbyACO_ICC5[[#This Row],[2021 Member Months]]=0,"NA",ValbyACO_ICC5[[#This Row],[2022 Claims: Professional, Primary Care]]/ValbyACO_ICC5[[#This Row],[2021 Claims: Professional, Primary Care]]-1),"NA")</f>
        <v>NA</v>
      </c>
      <c r="AJ127" s="162" t="str">
        <f>IFERROR(IF(ValbyACO_ICC5[[#This Row],[2021 Member Months]]=0,"NA",ValbyACO_ICC5[[#This Row],[2022 Claims: Professional, Specialty Care]]/ValbyACO_ICC5[[#This Row],[2021 Claims: Professional, Specialty Care]]-1),"NA")</f>
        <v>NA</v>
      </c>
      <c r="AK127" s="162" t="str">
        <f>IFERROR(IF(ValbyACO_ICC5[[#This Row],[2021 Member Months]]=0,"NA", ValbyACO_ICC5[[#This Row],[2022 Claims: Professional Other]]/ValbyACO_ICC5[[#This Row],[2021 Claims: Professional Other]]-1),"NA")</f>
        <v>NA</v>
      </c>
      <c r="AL127" s="162" t="str">
        <f>IFERROR(IF(ValbyACO_ICC5[[#This Row],[2021 Member Months]]=0,"NA",ValbyACO_ICC5[[#This Row],[2022 Claims: Pharmacy (Gross of Retail Pharmacy Rebates)]]/ValbyACO_ICC5[[#This Row],[2021 Claims: Pharmacy (Gross of  Rebates)]]-1),"NA")</f>
        <v>NA</v>
      </c>
      <c r="AM127" s="162" t="str">
        <f>IFERROR(IF(ValbyACO_ICC5[[#This Row],[2021 Member Months]]=0,"NA",ValbyACO_ICC5[[#This Row],[2022 Claims: Long-term Care]]/ValbyACO_ICC5[[#This Row],[2021 Claims: Long-term Care]]-1),"NA")</f>
        <v>NA</v>
      </c>
      <c r="AN127" s="162" t="str">
        <f>IFERROR(IF(ValbyACO_ICC5[[#This Row],[2021 Member Months]]=0,"NA",ValbyACO_ICC5[[#This Row],[2022 Claims: Other]]/ValbyACO_ICC5[[#This Row],[2021 Claims: Other]]-1),"NA")</f>
        <v>NA</v>
      </c>
      <c r="AO127" s="163" t="str">
        <f>IFERROR(IF(ValbyACO_ICC5[[#This Row],[2021 Member Months]]=0,"NA",ValbyACO_ICC5[[#This Row],[2022 TOTAL Non-Truncated Claims Expenses]]/ValbyACO_ICC5[[#This Row],[2021 TOTAL Non-Truncated Claims Expenses]]-1),"NA")</f>
        <v>NA</v>
      </c>
      <c r="AP127" s="163" t="str">
        <f>IFERROR(IF(ValbyACO_ICC5[[#This Row],[2021 Member Months]]=0,"NA",ValbyACO_ICC5[[#This Row],[2022 TOTAL Truncated Claims Expenses]]/ValbyACO_ICC5[[#This Row],[2021 TOTAL Truncated Claims Expenses]]-1),"NA")</f>
        <v>NA</v>
      </c>
      <c r="AQ127" s="163" t="str">
        <f>IFERROR(IF(ValbyACO_ICC5[[#This Row],[2021 Member Months]]=0,"NA",ValbyACO_ICC5[[#This Row],[2022 TOTAL Non-Claims Expenses]]/ValbyACO_ICC5[[#This Row],[2021 TOTAL Non-Claims Expenses]]-1),"NA")</f>
        <v>NA</v>
      </c>
      <c r="AR127" s="163" t="str">
        <f>IFERROR(IF(ValbyACO_ICC5[[#This Row],[2021 Member Months]]=0,"NA",ValbyACO_ICC5[[#This Row],[2022 TOTAL Non-Truncated Total Expenses]]/ValbyACO_ICC5[[#This Row],[2021 TOTAL Non-Truncated Total Expenses]]-1),"NA")</f>
        <v>NA</v>
      </c>
      <c r="AS127" s="163" t="str">
        <f>IFERROR(IF(ValbyACO_ICC5[[#This Row],[2021 Member Months]]=0,"NA",ValbyACO_ICC5[[#This Row],[2022 TOTAL Truncated Total Expenses]]/ValbyACO_ICC5[[#This Row],[2021 TOTAL Truncated Total Expenses]]-1),"NA")</f>
        <v>NA</v>
      </c>
    </row>
    <row r="128" spans="1:45" x14ac:dyDescent="0.35">
      <c r="A128" s="129"/>
      <c r="B128" s="250">
        <v>999</v>
      </c>
      <c r="C128" s="291" t="s">
        <v>172</v>
      </c>
      <c r="D128" s="120">
        <f>SUMIFS(ACOAETME2021[[#All],[Member Months]], ACOAETME2021[[#All],[Insurance Category Code]], $E$118, ACOAETME2021[[#All],[ACO/AE or Insurer Overall Organization ID]], ValbyACO_ICC5[[#This Row],[Org ID]])</f>
        <v>0</v>
      </c>
      <c r="E128" s="268" t="str">
        <f>IFERROR(IF(ValbyACO_ICC5[[#This Row],[2021 Member Months]]=0,"NA",SUMIFS(ACOAETME2021[[#All],[Claims: Hospital Inpatient]], ACOAETME2021[[#All],[Insurance Category Code]], $E$118, ACOAETME2021[[#All],[ACO/AE or Insurer Overall Organization ID]], ValbyACO_ICC5[[#This Row],[Org ID]])/ValbyACO_ICC5[[#This Row],[2021 Member Months]]), "NA")</f>
        <v>NA</v>
      </c>
      <c r="F128" s="419" t="str">
        <f>IFERROR(IF(ValbyACO_ICC5[[#This Row],[2021 Member Months]]=0,"NA",SUMIFS(ACOAETME2021[[#All],[Claims: Hospital Outpatient]], ACOAETME2021[[#All],[Insurance Category Code]], $E$118, ACOAETME2021[[#All],[ACO/AE or Insurer Overall Organization ID]], ValbyACO_ICC5[[#This Row],[Org ID]])/ValbyACO_ICC5[[#This Row],[2021 Member Months]]), "NA")</f>
        <v>NA</v>
      </c>
      <c r="G128" s="341" t="str">
        <f>IFERROR(IF(ValbyACO_ICC5[[#This Row],[2021 Member Months]]=0,"NA",SUMIFS(ACOAETME2021[[#All],[Claims: Professional, Primary Care]], ACOAETME2021[[#All],[Insurance Category Code]], $E$118, ACOAETME2021[[#All],[ACO/AE or Insurer Overall Organization ID]], ValbyACO_ICC5[[#This Row],[Org ID]])/ValbyACO_ICC5[[#This Row],[2021 Member Months]]), "NA")</f>
        <v>NA</v>
      </c>
      <c r="H128" s="341" t="str">
        <f>IFERROR(IF(ValbyACO_ICC5[[#This Row],[2021 Member Months]]=0,"NA",SUMIFS(ACOAETME2021[[#All],[Claims: Professional, Specialty Care]], ACOAETME2021[[#All],[Insurance Category Code]], $E$118, ACOAETME2021[[#All],[ACO/AE or Insurer Overall Organization ID]], ValbyACO_ICC5[[#This Row],[Org ID]])/ValbyACO_ICC5[[#This Row],[2021 Member Months]]), "NA")</f>
        <v>NA</v>
      </c>
      <c r="I128" s="341" t="str">
        <f>IFERROR(IF(ValbyACO_ICC5[[#This Row],[2021 Member Months]]=0,"NA",SUMIFS(ACOAETME2021[[#All],[Claims: Professional Other]], ACOAETME2021[[#All],[Insurance Category Code]], $E$118, ACOAETME2021[[#All],[ACO/AE or Insurer Overall Organization ID]], ValbyACO_ICC5[[#This Row],[Org ID]])/ValbyACO_ICC5[[#This Row],[2021 Member Months]]), "NA")</f>
        <v>NA</v>
      </c>
      <c r="J128" s="341" t="str">
        <f>IFERROR(IF(ValbyACO_ICC5[[#This Row],[2021 Member Months]]=0,"NA",SUMIFS(ACOAETME2021[[#All],[Claims: Pharmacy]], ACOAETME2021[[#All],[Insurance Category Code]], $E$118, ACOAETME2021[[#All],[ACO/AE or Insurer Overall Organization ID]], ValbyACO_ICC5[[#This Row],[Org ID]])/ValbyACO_ICC5[[#This Row],[2021 Member Months]]), "NA")</f>
        <v>NA</v>
      </c>
      <c r="K128" s="341" t="str">
        <f>IFERROR(IF(ValbyACO_ICC5[[#This Row],[2021 Member Months]]=0,"NA",SUMIFS(ACOAETME2021[[#All],[Claims: Long-Term Care]], ACOAETME2021[[#All],[Insurance Category Code]], $E$118, ACOAETME2021[[#All],[ACO/AE or Insurer Overall Organization ID]], ValbyACO_ICC5[[#This Row],[Org ID]])/ValbyACO_ICC5[[#This Row],[2021 Member Months]]), "NA")</f>
        <v>NA</v>
      </c>
      <c r="L128" s="341" t="str">
        <f>IFERROR(IF(ValbyACO_ICC5[[#This Row],[2021 Member Months]]=0,"NA",SUMIFS(ACOAETME2021[[#All],[Claims: Other]], ACOAETME2021[[#All],[Insurance Category Code]], $E$118, ACOAETME2021[[#All],[ACO/AE or Insurer Overall Organization ID]], ValbyACO_ICC5[[#This Row],[Org ID]])/ValbyACO_ICC5[[#This Row],[2021 Member Months]]), "NA")</f>
        <v>NA</v>
      </c>
      <c r="M128" s="130" t="str">
        <f>IF(ValbyACO_ICC5[[#This Row],[2021 Member Months]]=0,"NA",SUMIFS(ACOAETME2021[[#All],[TOTAL Non-Truncated Unadjusted Claims Expenses]], ACOAETME2021[[#All],[Insurance Category Code]], $E$118, ACOAETME2021[[#All],[ACO/AE or Insurer Overall Organization ID]], ValbyACO_ICC5[[#This Row],[Org ID]])/ValbyACO_ICC5[[#This Row],[2021 Member Months]])</f>
        <v>NA</v>
      </c>
      <c r="N128" s="130" t="str">
        <f>IF(ValbyACO_ICC5[[#This Row],[2021 Member Months]]=0,"NA",SUMIFS(ACOAETME2021[[#All],[TOTAL Truncated Unadjusted Claims Expenses (A19 - A17)]], ACOAETME2021[[#All],[Insurance Category Code]], $E$118, ACOAETME2021[[#All],[ACO/AE or Insurer Overall Organization ID]], ValbyACO_ICC5[[#This Row],[Org ID]])/ValbyACO_ICC5[[#This Row],[2021 Member Months]])</f>
        <v>NA</v>
      </c>
      <c r="O128" s="130" t="str">
        <f>IF(ValbyACO_ICC5[[#This Row],[2021 Member Months]]=0,"NA",SUMIFS(ACOAETME2021[[#All],[TOTAL Non-Claims Expenses]], ACOAETME2021[[#All],[Insurance Category Code]], $E$118, ACOAETME2021[[#All],[ACO/AE or Insurer Overall Organization ID]], ValbyACO_ICC5[[#This Row],[Org ID]])/ValbyACO_ICC5[[#This Row],[2021 Member Months]])</f>
        <v>NA</v>
      </c>
      <c r="P128" s="341" t="str">
        <f>IF(ValbyACO_ICC5[[#This Row],[2021 Member Months]]=0, "NA", SUMIFS(ACOAETME2021[[#All],[TOTAL Non-Truncated Unadjusted Expenses 
(A19+A21)]], ACOAETME2021[[#All],[Insurance Category Code]], $E$118, ACOAETME2021[[#All],[ACO/AE or Insurer Overall Organization ID]], ValbyACO_ICC5[[#This Row],[Org ID]])/ValbyACO_ICC5[[#This Row],[2021 Member Months]])</f>
        <v>NA</v>
      </c>
      <c r="Q128" s="409" t="str">
        <f>IF(ValbyACO_ICC5[[#This Row],[2021 Member Months]]=0, "NA", SUMIFS(ACOAETME2021[[#All],[TOTAL Truncated Unadjusted Expenses (A20+A21)]], ACOAETME2021[[#All],[Insurance Category Code]], $E$118, ACOAETME2021[[#All],[ACO/AE or Insurer Overall Organization ID]], ValbyACO_ICC5[[#This Row],[Org ID]])/ValbyACO_ICC5[[#This Row],[2021 Member Months]])</f>
        <v>NA</v>
      </c>
      <c r="R128" s="304">
        <f>SUMIFS(ACOAETME2022[[#All],[Member Months]],ACOAETME2022[[#All],[Insurance Category Code]], $E$118,ACOAETME2022[[#All],[ACO/AE or Insurer Overall Organization ID]],ValbyACO_ICC5[[#This Row],[Org ID]])</f>
        <v>0</v>
      </c>
      <c r="S128" s="118" t="str">
        <f>IF(ValbyACO_ICC5[[#This Row],[2022 Member Months]]=0,"NA",SUMIFS(ACOAETME2022[[#All],[Claims: Hospital Inpatient]],ACOAETME2022[[#All],[Insurance Category Code]], $E$118,ACOAETME2022[[#All],[ACO/AE or Insurer Overall Organization ID]],ValbyACO_ICC5[[#This Row],[Org ID]])/ValbyACO_ICC5[[#This Row],[2022 Member Months]])</f>
        <v>NA</v>
      </c>
      <c r="T128" s="99" t="str">
        <f>IF(ValbyACO_ICC5[[#This Row],[2022 Member Months]]=0,"NA",SUMIFS(ACOAETME2022[[#All],[Claims: Hospital Outpatient]],ACOAETME2022[[#All],[Insurance Category Code]], $E$118,ACOAETME2022[[#All],[ACO/AE or Insurer Overall Organization ID]],ValbyACO_ICC5[[#This Row],[Org ID]])/ValbyACO_ICC5[[#This Row],[2022 Member Months]])</f>
        <v>NA</v>
      </c>
      <c r="U128" s="88" t="str">
        <f>IF(ValbyACO_ICC5[[#This Row],[2022 Member Months]]=0,"NA",SUMIFS(ACOAETME2022[[#All],[Claims: Professional, Primary Care]],ACOAETME2022[[#All],[Insurance Category Code]], $E$118,ACOAETME2022[[#All],[ACO/AE or Insurer Overall Organization ID]],ValbyACO_ICC5[[#This Row],[Org ID]])/ValbyACO_ICC5[[#This Row],[2022 Member Months]])</f>
        <v>NA</v>
      </c>
      <c r="V128" s="88" t="str">
        <f>IF(ValbyACO_ICC5[[#This Row],[2022 Member Months]]=0,"NA",SUMIFS(ACOAETME2022[[#All],[Claims: Professional, Specialty Care]],ACOAETME2022[[#All],[Insurance Category Code]], $E$118,ACOAETME2022[[#All],[ACO/AE or Insurer Overall Organization ID]],ValbyACO_ICC5[[#This Row],[Org ID]])/ValbyACO_ICC5[[#This Row],[2022 Member Months]])</f>
        <v>NA</v>
      </c>
      <c r="W128" s="88" t="str">
        <f>IF(ValbyACO_ICC5[[#This Row],[2022 Member Months]]=0,"NA",SUMIFS(ACOAETME2022[[#All],[Claims: Professional Other]],ACOAETME2022[[#All],[Insurance Category Code]], $E$118,ACOAETME2022[[#All],[ACO/AE or Insurer Overall Organization ID]],ValbyACO_ICC5[[#This Row],[Org ID]])/ValbyACO_ICC5[[#This Row],[2022 Member Months]])</f>
        <v>NA</v>
      </c>
      <c r="X128" s="88" t="str">
        <f>IF(ValbyACO_ICC5[[#This Row],[2022 Member Months]]=0,"NA",SUMIFS(ACOAETME2022[[#All],[Claims: Pharmacy]],ACOAETME2022[[#All],[Insurance Category Code]], $E$118,ACOAETME2022[[#All],[ACO/AE or Insurer Overall Organization ID]],ValbyACO_ICC5[[#This Row],[Org ID]])/ValbyACO_ICC5[[#This Row],[2022 Member Months]])</f>
        <v>NA</v>
      </c>
      <c r="Y128" s="88" t="str">
        <f>IF(ValbyACO_ICC5[[#This Row],[2022 Member Months]]=0,"NA",SUMIFS(ACOAETME2022[[#All],[Claims: Long-Term Care]],ACOAETME2022[[#All],[Insurance Category Code]], $E$118,ACOAETME2022[[#All],[ACO/AE or Insurer Overall Organization ID]],ValbyACO_ICC5[[#This Row],[Org ID]])/ValbyACO_ICC5[[#This Row],[2022 Member Months]])</f>
        <v>NA</v>
      </c>
      <c r="Z128" s="88" t="str">
        <f>IF(ValbyACO_ICC5[[#This Row],[2022 Member Months]]=0,"NA",SUMIFS(ACOAETME2022[[#All],[Claims: Other]],ACOAETME2022[[#All],[Insurance Category Code]], $E$118,ACOAETME2022[[#All],[ACO/AE or Insurer Overall Organization ID]],ValbyACO_ICC5[[#This Row],[Org ID]])/ValbyACO_ICC5[[#This Row],[2022 Member Months]])</f>
        <v>NA</v>
      </c>
      <c r="AA128" s="130" t="str">
        <f>IF(ValbyACO_ICC5[[#This Row],[2022 Member Months]]=0,"NA",SUMIFS(ACOAETME2022[[#All],[TOTAL Non-Truncated Unadjusted Claims Expenses]],ACOAETME2022[[#All],[Insurance Category Code]], $E$118,ACOAETME2022[[#All],[ACO/AE or Insurer Overall Organization ID]],ValbyACO_ICC5[[#This Row],[Org ID]])/ValbyACO_ICC5[[#This Row],[2022 Member Months]])</f>
        <v>NA</v>
      </c>
      <c r="AB128" s="130" t="str">
        <f>IF(ValbyACO_ICC5[[#This Row],[2022 Member Months]]=0,"NA",SUMIFS(ACOAETME2022[[#All],[TOTAL Truncated Unadjusted Expenses (A20+A21)]],ACOAETME2022[[#All],[Insurance Category Code]], $E$118,ACOAETME2022[[#All],[ACO/AE or Insurer Overall Organization ID]],ValbyACO_ICC5[[#This Row],[Org ID]])/ValbyACO_ICC5[[#This Row],[2022 Member Months]])</f>
        <v>NA</v>
      </c>
      <c r="AC128" s="130" t="str">
        <f>IF(ValbyACO_ICC5[[#This Row],[2022 Member Months]]=0,"NA",SUMIFS(ACOAETME2022[[#All],[TOTAL Non-Claims Expenses]],ACOAETME2022[[#All],[Insurance Category Code]], $E$118,ACOAETME2022[[#All],[ACO/AE or Insurer Overall Organization ID]],ValbyACO_ICC5[[#This Row],[Org ID]])/ValbyACO_ICC5[[#This Row],[2022 Member Months]])</f>
        <v>NA</v>
      </c>
      <c r="AD128" s="288" t="str">
        <f>IF(ValbyACO_ICC5[[#This Row],[2022 Member Months]]=0,"NA",SUMIFS(ACOAETME2022[[#All],[TOTAL Non-Truncated Unadjusted Expenses 
(A19+A21)]],ACOAETME2022[[#All],[Insurance Category Code]], $E$118,ACOAETME2022[[#All],[ACO/AE or Insurer Overall Organization ID]],ValbyACO_ICC5[[#This Row],[Org ID]])/ValbyACO_ICC5[[#This Row],[2022 Member Months]])</f>
        <v>NA</v>
      </c>
      <c r="AE128" s="119" t="str">
        <f>IF(ValbyACO_ICC5[[#This Row],[2022 Member Months]]=0,"NA",SUMIFS(ACOAETME2022[[#All],[TOTAL Truncated Unadjusted Expenses (A20+A21)]],ACOAETME2022[[#All],[Insurance Category Code]],$E$118,ACOAETME2022[[#All],[ACO/AE or Insurer Overall Organization ID]],ValbyACO_ICC5[[#This Row],[Org ID]])/ValbyACO_ICC5[[#This Row],[2022 Member Months]])</f>
        <v>NA</v>
      </c>
      <c r="AF128" s="161" t="str">
        <f>IFERROR(IF(ValbyACO_ICC5[[#This Row],[2021 Member Months]]=0,"NA",ValbyACO_ICC5[[#This Row],[2022 Member Months]]/ValbyACO_ICC5[[#This Row],[2021 Member Months]]-1),"NA")</f>
        <v>NA</v>
      </c>
      <c r="AG128" s="161" t="str">
        <f>IFERROR(IF(ValbyACO_ICC5[[#This Row],[2021 Member Months]]=0,"NA",ValbyACO_ICC5[[#This Row],[2022 Claims: Hospital Inpatient]]/ValbyACO_ICC5[[#This Row],[2021 Claims: Hospital Inpatient]]-1),"NA")</f>
        <v>NA</v>
      </c>
      <c r="AH128" s="162" t="str">
        <f>IFERROR(IF(ValbyACO_ICC5[[#This Row],[2021 Member Months]]=0,"NA",ValbyACO_ICC5[[#This Row],[2022 Claims: Hospital Outpatient]]/ValbyACO_ICC5[[#This Row],[2021 Claims: Hospital Outpatient]]-1),"NA")</f>
        <v>NA</v>
      </c>
      <c r="AI128" s="162" t="str">
        <f>IFERROR(IF(ValbyACO_ICC5[[#This Row],[2021 Member Months]]=0,"NA",ValbyACO_ICC5[[#This Row],[2022 Claims: Professional, Primary Care]]/ValbyACO_ICC5[[#This Row],[2021 Claims: Professional, Primary Care]]-1),"NA")</f>
        <v>NA</v>
      </c>
      <c r="AJ128" s="162" t="str">
        <f>IFERROR(IF(ValbyACO_ICC5[[#This Row],[2021 Member Months]]=0,"NA",ValbyACO_ICC5[[#This Row],[2022 Claims: Professional, Specialty Care]]/ValbyACO_ICC5[[#This Row],[2021 Claims: Professional, Specialty Care]]-1),"NA")</f>
        <v>NA</v>
      </c>
      <c r="AK128" s="162" t="str">
        <f>IFERROR(IF(ValbyACO_ICC5[[#This Row],[2021 Member Months]]=0,"NA", ValbyACO_ICC5[[#This Row],[2022 Claims: Professional Other]]/ValbyACO_ICC5[[#This Row],[2021 Claims: Professional Other]]-1),"NA")</f>
        <v>NA</v>
      </c>
      <c r="AL128" s="162" t="str">
        <f>IFERROR(IF(ValbyACO_ICC5[[#This Row],[2021 Member Months]]=0,"NA",ValbyACO_ICC5[[#This Row],[2022 Claims: Pharmacy (Gross of Retail Pharmacy Rebates)]]/ValbyACO_ICC5[[#This Row],[2021 Claims: Pharmacy (Gross of  Rebates)]]-1),"NA")</f>
        <v>NA</v>
      </c>
      <c r="AM128" s="162" t="str">
        <f>IFERROR(IF(ValbyACO_ICC5[[#This Row],[2021 Member Months]]=0,"NA",ValbyACO_ICC5[[#This Row],[2022 Claims: Long-term Care]]/ValbyACO_ICC5[[#This Row],[2021 Claims: Long-term Care]]-1),"NA")</f>
        <v>NA</v>
      </c>
      <c r="AN128" s="162" t="str">
        <f>IFERROR(IF(ValbyACO_ICC5[[#This Row],[2021 Member Months]]=0,"NA",ValbyACO_ICC5[[#This Row],[2022 Claims: Other]]/ValbyACO_ICC5[[#This Row],[2021 Claims: Other]]-1),"NA")</f>
        <v>NA</v>
      </c>
      <c r="AO128" s="163" t="str">
        <f>IFERROR(IF(ValbyACO_ICC5[[#This Row],[2021 Member Months]]=0,"NA",ValbyACO_ICC5[[#This Row],[2022 TOTAL Non-Truncated Claims Expenses]]/ValbyACO_ICC5[[#This Row],[2021 TOTAL Non-Truncated Claims Expenses]]-1),"NA")</f>
        <v>NA</v>
      </c>
      <c r="AP128" s="163" t="str">
        <f>IFERROR(IF(ValbyACO_ICC5[[#This Row],[2021 Member Months]]=0,"NA",ValbyACO_ICC5[[#This Row],[2022 TOTAL Truncated Claims Expenses]]/ValbyACO_ICC5[[#This Row],[2021 TOTAL Truncated Claims Expenses]]-1),"NA")</f>
        <v>NA</v>
      </c>
      <c r="AQ128" s="163" t="str">
        <f>IFERROR(IF(ValbyACO_ICC5[[#This Row],[2021 Member Months]]=0,"NA",ValbyACO_ICC5[[#This Row],[2022 TOTAL Non-Claims Expenses]]/ValbyACO_ICC5[[#This Row],[2021 TOTAL Non-Claims Expenses]]-1),"NA")</f>
        <v>NA</v>
      </c>
      <c r="AR128" s="163" t="str">
        <f>IFERROR(IF(ValbyACO_ICC5[[#This Row],[2021 Member Months]]=0,"NA",ValbyACO_ICC5[[#This Row],[2022 TOTAL Non-Truncated Total Expenses]]/ValbyACO_ICC5[[#This Row],[2021 TOTAL Non-Truncated Total Expenses]]-1),"NA")</f>
        <v>NA</v>
      </c>
      <c r="AS128" s="163" t="str">
        <f>IFERROR(IF(ValbyACO_ICC5[[#This Row],[2021 Member Months]]=0,"NA",ValbyACO_ICC5[[#This Row],[2022 TOTAL Truncated Total Expenses]]/ValbyACO_ICC5[[#This Row],[2021 TOTAL Truncated Total Expenses]]-1),"NA")</f>
        <v>NA</v>
      </c>
    </row>
    <row r="129" spans="1:45" x14ac:dyDescent="0.35">
      <c r="B129" s="251"/>
      <c r="C129" s="292" t="s">
        <v>118</v>
      </c>
      <c r="D129" s="121">
        <f>SUM(D120:D128)</f>
        <v>0</v>
      </c>
      <c r="E129" s="269" t="str">
        <f>IF(ValbyACO_ICC5[[#This Row],[2021 Member Months]]=0,"NA",SUMPRODUCT(E120:E128,D120:D128)/ValbyACO_ICC5[[#This Row],[2021 Member Months]])</f>
        <v>NA</v>
      </c>
      <c r="F129" s="315" t="str">
        <f>IF(ValbyACO_ICC5[[#This Row],[2021 Member Months]]=0,"NA",SUMPRODUCT(F120:F128,D120:D128)/ValbyACO_ICC5[[#This Row],[2021 Member Months]])</f>
        <v>NA</v>
      </c>
      <c r="G129" s="315" t="str">
        <f>IF(ValbyACO_ICC5[[#This Row],[2021 Member Months]]=0,"NA",SUMPRODUCT(G120:G128,D120:D128)/ValbyACO_ICC5[[#This Row],[2021 Member Months]])</f>
        <v>NA</v>
      </c>
      <c r="H129" s="315" t="str">
        <f>IF(ValbyACO_ICC5[[#This Row],[2021 Member Months]]=0,"NA",SUMPRODUCT(H120:H128,D120:D128)/ValbyACO_ICC5[[#This Row],[2021 Member Months]])</f>
        <v>NA</v>
      </c>
      <c r="I129" s="315" t="str">
        <f>IF(ValbyACO_ICC5[[#This Row],[2021 Member Months]]=0,"NA",SUMPRODUCT(I120:I128,D120:D128)/ValbyACO_ICC5[[#This Row],[2021 Member Months]])</f>
        <v>NA</v>
      </c>
      <c r="J129" s="315" t="str">
        <f>IF(ValbyACO_ICC5[[#This Row],[2021 Member Months]]=0,"NA",SUMPRODUCT(J120:J128,D120:D128)/ValbyACO_ICC5[[#This Row],[2021 Member Months]])</f>
        <v>NA</v>
      </c>
      <c r="K129" s="315" t="str">
        <f>IF(ValbyACO_ICC5[[#This Row],[2021 Member Months]]=0,"NA",SUMPRODUCT(K120:K128,D120:D128)/ValbyACO_ICC5[[#This Row],[2021 Member Months]])</f>
        <v>NA</v>
      </c>
      <c r="L129" s="315" t="str">
        <f>IF(ValbyACO_ICC5[[#This Row],[2021 Member Months]]=0,"NA",SUMPRODUCT(L120:L128,D120:D128)/ValbyACO_ICC5[[#This Row],[2021 Member Months]])</f>
        <v>NA</v>
      </c>
      <c r="M129" s="124" t="str">
        <f>IF(ValbyACO_ICC5[[#This Row],[2021 Member Months]]=0,"NA",SUMPRODUCT(M120:M128,D120:D128)/ValbyACO_ICC5[[#This Row],[2021 Member Months]])</f>
        <v>NA</v>
      </c>
      <c r="N129" s="124" t="str">
        <f>IF(ValbyACO_ICC5[[#This Row],[2021 Member Months]]=0,"NA",SUMPRODUCT(N120:N128,D120:D128)/ValbyACO_ICC5[[#This Row],[2021 Member Months]])</f>
        <v>NA</v>
      </c>
      <c r="O129" s="124" t="str">
        <f>IF(ValbyACO_ICC5[[#This Row],[2021 Member Months]]=0,"NA",SUMPRODUCT(O120:O128,D120:D128)/ValbyACO_ICC5[[#This Row],[2021 Member Months]])</f>
        <v>NA</v>
      </c>
      <c r="P129" s="89" t="str">
        <f>IF(ValbyACO_ICC5[[#This Row],[2021 Member Months]]=0,"NA",SUMPRODUCT(P120:P128,D120:D128)/ValbyACO_ICC5[[#This Row],[2021 Member Months]])</f>
        <v>NA</v>
      </c>
      <c r="Q129" s="410" t="str">
        <f>IF(ValbyACO_ICC5[[#This Row],[2021 Member Months]]=0,"NA",SUMPRODUCT(Q120:Q128,D120:D128)/ValbyACO_ICC5[[#This Row],[2021 Member Months]])</f>
        <v>NA</v>
      </c>
      <c r="R129" s="305">
        <f>SUM(R120:R128)</f>
        <v>0</v>
      </c>
      <c r="S129" s="123" t="str">
        <f>IF(ValbyACO_ICC5[[#This Row],[2022 Member Months]]=0,"NA",SUMPRODUCT(S120:S128,R120:R128)/ValbyACO_ICC5[[#This Row],[2022 Member Months]])</f>
        <v>NA</v>
      </c>
      <c r="T129" s="89" t="str">
        <f>IF(ValbyACO_ICC5[[#This Row],[2022 Member Months]]=0,"NA",SUMPRODUCT(T120:T128,R120:R128)/ValbyACO_ICC5[[#This Row],[2022 Member Months]])</f>
        <v>NA</v>
      </c>
      <c r="U129" s="89" t="str">
        <f>IF(ValbyACO_ICC5[[#This Row],[2022 Member Months]]=0,"NA",SUMPRODUCT(U120:U128,R120:R128)/ValbyACO_ICC5[[#This Row],[2022 Member Months]])</f>
        <v>NA</v>
      </c>
      <c r="V129" s="89" t="str">
        <f>IF(ValbyACO_ICC5[[#This Row],[2022 Member Months]]=0,"NA",SUMPRODUCT(V120:V128,R120:R128)/ValbyACO_ICC5[[#This Row],[2022 Member Months]])</f>
        <v>NA</v>
      </c>
      <c r="W129" s="89" t="str">
        <f>IF(ValbyACO_ICC5[[#This Row],[2022 Member Months]]=0,"NA",SUMPRODUCT(W120:W128,R120:R128)/ValbyACO_ICC5[[#This Row],[2022 Member Months]])</f>
        <v>NA</v>
      </c>
      <c r="X129" s="89" t="str">
        <f>IF(ValbyACO_ICC5[[#This Row],[2022 Member Months]]=0,"NA",SUMPRODUCT(X120:X128,R120:R128)/ValbyACO_ICC5[[#This Row],[2022 Member Months]])</f>
        <v>NA</v>
      </c>
      <c r="Y129" s="89" t="str">
        <f>IF(ValbyACO_ICC5[[#This Row],[2022 Member Months]]=0,"NA",SUMPRODUCT(Y120:Y128,R120:R128)/ValbyACO_ICC5[[#This Row],[2022 Member Months]])</f>
        <v>NA</v>
      </c>
      <c r="Z129" s="89" t="str">
        <f>IF(ValbyACO_ICC5[[#This Row],[2022 Member Months]]=0,"NA",SUMPRODUCT(Z120:Z128,R120:R128)/ValbyACO_ICC5[[#This Row],[2022 Member Months]])</f>
        <v>NA</v>
      </c>
      <c r="AA129" s="124" t="str">
        <f>IF(ValbyACO_ICC5[[#This Row],[2022 Member Months]]=0,"NA",SUMPRODUCT(AA120:AA128,R120:R128)/ValbyACO_ICC5[[#This Row],[2022 Member Months]])</f>
        <v>NA</v>
      </c>
      <c r="AB129" s="124" t="str">
        <f>IF(ValbyACO_ICC5[[#This Row],[2022 Member Months]]=0,"NA",SUMPRODUCT(AB120:AB128,R120:R128)/ValbyACO_ICC5[[#This Row],[2022 Member Months]])</f>
        <v>NA</v>
      </c>
      <c r="AC129" s="124" t="str">
        <f>IF(ValbyACO_ICC5[[#This Row],[2022 Member Months]]=0,"NA",SUMPRODUCT(AC120:AC128,R120:R128)/ValbyACO_ICC5[[#This Row],[2022 Member Months]])</f>
        <v>NA</v>
      </c>
      <c r="AD129" s="124" t="str">
        <f>IF(ValbyACO_ICC5[[#This Row],[2022 Member Months]]=0,"NA",SUMPRODUCT(AD120:AD128,R120:R128)/ValbyACO_ICC5[[#This Row],[2022 Member Months]])</f>
        <v>NA</v>
      </c>
      <c r="AE129" s="125" t="str">
        <f>IF(ValbyACO_ICC5[[#This Row],[2022 Member Months]]=0,"NA",SUMPRODUCT(AE120:AE128,R120:R128)/ValbyACO_ICC5[[#This Row],[2022 Member Months]])</f>
        <v>NA</v>
      </c>
      <c r="AF129" s="166" t="str">
        <f>IFERROR(IF(ValbyACO_ICC5[[#This Row],[2021 Member Months]]=0,"NA",ValbyACO_ICC5[[#This Row],[2022 Member Months]]/ValbyACO_ICC5[[#This Row],[2021 Member Months]]-1),"NA")</f>
        <v>NA</v>
      </c>
      <c r="AG129" s="166" t="str">
        <f>IFERROR(IF(ValbyACO_ICC5[[#This Row],[2021 Member Months]]=0,"NA",ValbyACO_ICC5[[#This Row],[2022 Claims: Hospital Inpatient]]/ValbyACO_ICC5[[#This Row],[2021 Claims: Hospital Inpatient]]-1),"NA")</f>
        <v>NA</v>
      </c>
      <c r="AH129" s="167" t="str">
        <f>IFERROR(IF(ValbyACO_ICC5[[#This Row],[2021 Member Months]]=0,"NA",ValbyACO_ICC5[[#This Row],[2022 Claims: Hospital Outpatient]]/ValbyACO_ICC5[[#This Row],[2021 Claims: Hospital Outpatient]]-1),"NA")</f>
        <v>NA</v>
      </c>
      <c r="AI129" s="167" t="str">
        <f>IFERROR(IF(ValbyACO_ICC5[[#This Row],[2021 Member Months]]=0,"NA",ValbyACO_ICC5[[#This Row],[2022 Claims: Professional, Primary Care]]/ValbyACO_ICC5[[#This Row],[2021 Claims: Professional, Primary Care]]-1),"NA")</f>
        <v>NA</v>
      </c>
      <c r="AJ129" s="167" t="str">
        <f>IFERROR(IF(ValbyACO_ICC5[[#This Row],[2021 Member Months]]=0,"NA",ValbyACO_ICC5[[#This Row],[2022 Claims: Professional, Specialty Care]]/ValbyACO_ICC5[[#This Row],[2021 Claims: Professional, Specialty Care]]-1),"NA")</f>
        <v>NA</v>
      </c>
      <c r="AK129" s="167" t="str">
        <f>IFERROR(IF(ValbyACO_ICC5[[#This Row],[2021 Member Months]]=0,"NA", ValbyACO_ICC5[[#This Row],[2022 Claims: Professional Other]]/ValbyACO_ICC5[[#This Row],[2021 Claims: Professional Other]]-1),"NA")</f>
        <v>NA</v>
      </c>
      <c r="AL129" s="167" t="str">
        <f>IFERROR(IF(ValbyACO_ICC5[[#This Row],[2021 Member Months]]=0,"NA",ValbyACO_ICC5[[#This Row],[2022 Claims: Pharmacy (Gross of Retail Pharmacy Rebates)]]/ValbyACO_ICC5[[#This Row],[2021 Claims: Pharmacy (Gross of  Rebates)]]-1),"NA")</f>
        <v>NA</v>
      </c>
      <c r="AM129" s="167" t="str">
        <f>IFERROR(IF(ValbyACO_ICC5[[#This Row],[2021 Member Months]]=0,"NA",ValbyACO_ICC5[[#This Row],[2022 Claims: Long-term Care]]/ValbyACO_ICC5[[#This Row],[2021 Claims: Long-term Care]]-1),"NA")</f>
        <v>NA</v>
      </c>
      <c r="AN129" s="167" t="str">
        <f>IFERROR(IF(ValbyACO_ICC5[[#This Row],[2021 Member Months]]=0,"NA",ValbyACO_ICC5[[#This Row],[2022 Claims: Other]]/ValbyACO_ICC5[[#This Row],[2021 Claims: Other]]-1),"NA")</f>
        <v>NA</v>
      </c>
      <c r="AO129" s="168" t="str">
        <f>IFERROR(IF(ValbyACO_ICC5[[#This Row],[2021 Member Months]]=0,"NA",ValbyACO_ICC5[[#This Row],[2022 TOTAL Non-Truncated Claims Expenses]]/ValbyACO_ICC5[[#This Row],[2021 TOTAL Non-Truncated Claims Expenses]]-1),"NA")</f>
        <v>NA</v>
      </c>
      <c r="AP129" s="168" t="str">
        <f>IFERROR(IF(ValbyACO_ICC5[[#This Row],[2021 Member Months]]=0,"NA",ValbyACO_ICC5[[#This Row],[2022 TOTAL Truncated Claims Expenses]]/ValbyACO_ICC5[[#This Row],[2021 TOTAL Truncated Claims Expenses]]-1),"NA")</f>
        <v>NA</v>
      </c>
      <c r="AQ129" s="168" t="str">
        <f>IFERROR(IF(ValbyACO_ICC5[[#This Row],[2021 Member Months]]=0,"NA",ValbyACO_ICC5[[#This Row],[2022 TOTAL Non-Claims Expenses]]/ValbyACO_ICC5[[#This Row],[2021 TOTAL Non-Claims Expenses]]-1),"NA")</f>
        <v>NA</v>
      </c>
      <c r="AR129" s="168" t="str">
        <f>IFERROR(IF(ValbyACO_ICC5[[#This Row],[2021 Member Months]]=0,"NA",ValbyACO_ICC5[[#This Row],[2022 TOTAL Non-Truncated Total Expenses]]/ValbyACO_ICC5[[#This Row],[2021 TOTAL Non-Truncated Total Expenses]]-1),"NA")</f>
        <v>NA</v>
      </c>
      <c r="AS129" s="168" t="str">
        <f>IFERROR(IF(ValbyACO_ICC5[[#This Row],[2021 Member Months]]=0,"NA",ValbyACO_ICC5[[#This Row],[2022 TOTAL Truncated Total Expenses]]/ValbyACO_ICC5[[#This Row],[2021 TOTAL Truncated Total Expenses]]-1),"NA")</f>
        <v>NA</v>
      </c>
    </row>
    <row r="130" spans="1:45" ht="15" thickBot="1" x14ac:dyDescent="0.4">
      <c r="B130" s="255"/>
      <c r="C130" s="293" t="s">
        <v>119</v>
      </c>
      <c r="D130" s="122">
        <f t="shared" ref="D130" si="14">D129</f>
        <v>0</v>
      </c>
      <c r="E130" s="344"/>
      <c r="F130" s="345"/>
      <c r="G130" s="345"/>
      <c r="H130" s="345"/>
      <c r="I130" s="345"/>
      <c r="J130" s="340" t="str">
        <f>IF(ValbyACO_ICC5[[#This Row],[2021 Member Months]]=0,"NA",(SUMPRODUCT(J120:J128,D120:D128)-ABS(SUMIF(RxRebates21[[#All],[Insurance Category Code]],$E$118,RxRebates21[[#All],[Retail Pharmacy Rebates]])))/ValbyACO_ICC5[[#This Row],[2021 Member Months]])</f>
        <v>NA</v>
      </c>
      <c r="K130" s="345"/>
      <c r="L130" s="345"/>
      <c r="M130" s="127" t="str">
        <f>IF(ValbyACO_ICC5[[#This Row],[2021 Member Months]]=0,"NA",(SUMPRODUCT(M120:M128,D120:D128)-ABS(SUMIF(RxRebates21[[#All],[Insurance Category Code]],$E$118,RxRebates21[[#All],[Total Pharmacy Rebates]])))/ValbyACO_ICC5[[#This Row],[2021 Member Months]])</f>
        <v>NA</v>
      </c>
      <c r="N130" s="127" t="str">
        <f>IF(ValbyACO_ICC5[[#This Row],[2021 Member Months]]=0,"NA",(SUMPRODUCT(N120:N128,D120:D128)-ABS(SUMIF(RxRebates21[[#All],[Insurance Category Code]],$E$118,RxRebates21[[#All],[Total Pharmacy Rebates]])))/ValbyACO_ICC5[[#This Row],[2021 Member Months]])</f>
        <v>NA</v>
      </c>
      <c r="O130" s="127" t="str">
        <f>IF(ValbyACO_ICC5[[#This Row],[2021 Member Months]]=0,"NA",(SUMPRODUCT(O120:O128,D120:D128)-ABS(SUMIF(RxRebates21[[#All],[Insurance Category Code]],$E$118,RxRebates21[[#All],[Total Pharmacy Rebates]])))/ValbyACO_ICC5[[#This Row],[2021 Member Months]])</f>
        <v>NA</v>
      </c>
      <c r="P130" s="126" t="str">
        <f>IF(ValbyACO_ICC5[[#This Row],[2021 Member Months]]=0,"NA",(SUMPRODUCT(P120:P128,D120:D128)-ABS(SUMIF(RxRebates21[[#All],[Insurance Category Code]],$E$118,RxRebates21[[#All],[Total Pharmacy Rebates]])))/ValbyACO_ICC5[[#This Row],[2021 Member Months]])</f>
        <v>NA</v>
      </c>
      <c r="Q130" s="410" t="str">
        <f>IF(ValbyACO_ICC5[[#This Row],[2021 Member Months]]=0,"NA",(SUMPRODUCT(Q120:Q128,D120:D128)-ABS(SUMIF(RxRebates21[[#All],[Insurance Category Code]],$E$118,RxRebates21[[#All],[Total Pharmacy Rebates]])))/ValbyACO_ICC5[[#This Row],[2021 Member Months]])</f>
        <v>NA</v>
      </c>
      <c r="R130" s="308">
        <f t="shared" ref="R130" si="15">R129</f>
        <v>0</v>
      </c>
      <c r="S130" s="346"/>
      <c r="T130" s="347"/>
      <c r="U130" s="347"/>
      <c r="V130" s="347"/>
      <c r="W130" s="347"/>
      <c r="X130" s="126" t="str">
        <f>IF(ValbyACO_ICC5[[#This Row],[2022 Member Months]]=0,"NA",(SUMPRODUCT(X120:X128,R120:R128)-ABS(SUMIF(RxRebates22[[#All],[Insurance Category Code]],$E$118,RxRebates22[[#All],[Retail Pharmacy Rebates]])))/ValbyACO_ICC5[[#This Row],[2022 Member Months]])</f>
        <v>NA</v>
      </c>
      <c r="Y130" s="347"/>
      <c r="Z130" s="347"/>
      <c r="AA130" s="127" t="str">
        <f>IF(ValbyACO_ICC5[[#This Row],[2022 Member Months]]=0,"NA",(SUMPRODUCT(AA120:AA128,R120:R128)-ABS(SUMIF(RxRebates22[[#All],[Insurance Category Code]],$E$118,RxRebates22[[#All],[Total Pharmacy Rebates]])))/ValbyACO_ICC5[[#This Row],[2022 Member Months]])</f>
        <v>NA</v>
      </c>
      <c r="AB130" s="127" t="str">
        <f>IF(ValbyACO_ICC5[[#This Row],[2022 Member Months]]=0,"NA",(SUMPRODUCT(AB120:AB128,R120:R128)-ABS(SUMIF(RxRebates22[[#All],[Insurance Category Code]],$E$118,RxRebates22[[#All],[Total Pharmacy Rebates]])))/ValbyACO_ICC5[[#This Row],[2022 Member Months]])</f>
        <v>NA</v>
      </c>
      <c r="AC130" s="127" t="str">
        <f>IF(ValbyACO_ICC5[[#This Row],[2022 Member Months]]=0,"NA",(SUMPRODUCT(AC120:AC128,R120:R128)-ABS(SUMIF(RxRebates22[[#All],[Insurance Category Code]],$E$118,RxRebates22[[#All],[Total Pharmacy Rebates]])))/ValbyACO_ICC5[[#This Row],[2022 Member Months]])</f>
        <v>NA</v>
      </c>
      <c r="AD130" s="127" t="str">
        <f>IF(ValbyACO_ICC5[[#This Row],[2022 Member Months]]=0,"NA",(SUMPRODUCT(AD120:AD128,R120:R128)-ABS(SUMIF(RxRebates22[[#All],[Insurance Category Code]],$E$118,RxRebates22[[#All],[Total Pharmacy Rebates]])))/ValbyACO_ICC5[[#This Row],[2022 Member Months]])</f>
        <v>NA</v>
      </c>
      <c r="AE130" s="128" t="str">
        <f>IF(ValbyACO_ICC5[[#This Row],[2022 Member Months]]=0,"NA",(SUMPRODUCT(AE120:AE128,R120:R128)-ABS(SUMIF(RxRebates22[[#All],[Insurance Category Code]],$E$118,RxRebates22[[#All],[Total Pharmacy Rebates]])))/ValbyACO_ICC5[[#This Row],[2022 Member Months]])</f>
        <v>NA</v>
      </c>
      <c r="AF130" s="166" t="str">
        <f>IFERROR(IF(ValbyACO_ICC5[[#This Row],[2021 Member Months]]=0,"NA",ValbyACO_ICC5[[#This Row],[2022 Member Months]]/ValbyACO_ICC5[[#This Row],[2021 Member Months]]-1),"NA")</f>
        <v>NA</v>
      </c>
      <c r="AG130" s="333"/>
      <c r="AH130" s="332"/>
      <c r="AI130" s="332"/>
      <c r="AJ130" s="332"/>
      <c r="AK130" s="332"/>
      <c r="AL130" s="167" t="str">
        <f>IFERROR(IF(ValbyACO_ICC5[[#This Row],[2021 Member Months]]=0,"NA",ValbyACO_ICC5[[#This Row],[2022 Claims: Pharmacy (Gross of Retail Pharmacy Rebates)]]/ValbyACO_ICC5[[#This Row],[2021 Claims: Pharmacy (Gross of  Rebates)]]-1),"NA")</f>
        <v>NA</v>
      </c>
      <c r="AM130" s="332"/>
      <c r="AN130" s="332"/>
      <c r="AO130" s="168" t="str">
        <f>IFERROR(IF(ValbyACO_ICC5[[#This Row],[2021 Member Months]]=0,"NA",ValbyACO_ICC5[[#This Row],[2022 TOTAL Non-Truncated Claims Expenses]]/ValbyACO_ICC5[[#This Row],[2021 TOTAL Non-Truncated Claims Expenses]]-1),"NA")</f>
        <v>NA</v>
      </c>
      <c r="AP130" s="168" t="str">
        <f>IFERROR(IF(ValbyACO_ICC5[[#This Row],[2021 Member Months]]=0,"NA",ValbyACO_ICC5[[#This Row],[2022 TOTAL Truncated Claims Expenses]]/ValbyACO_ICC5[[#This Row],[2021 TOTAL Truncated Claims Expenses]]-1),"NA")</f>
        <v>NA</v>
      </c>
      <c r="AQ130" s="168" t="str">
        <f>IFERROR(IF(ValbyACO_ICC5[[#This Row],[2021 Member Months]]=0,"NA",ValbyACO_ICC5[[#This Row],[2022 TOTAL Non-Claims Expenses]]/ValbyACO_ICC5[[#This Row],[2021 TOTAL Non-Claims Expenses]]-1),"NA")</f>
        <v>NA</v>
      </c>
      <c r="AR130" s="168" t="str">
        <f>IFERROR(IF(ValbyACO_ICC5[[#This Row],[2021 Member Months]]=0,"NA",ValbyACO_ICC5[[#This Row],[2022 TOTAL Non-Truncated Total Expenses]]/ValbyACO_ICC5[[#This Row],[2021 TOTAL Non-Truncated Total Expenses]]-1),"NA")</f>
        <v>NA</v>
      </c>
      <c r="AS130" s="168" t="str">
        <f>IFERROR(IF(ValbyACO_ICC5[[#This Row],[2021 Member Months]]=0,"NA",ValbyACO_ICC5[[#This Row],[2022 TOTAL Truncated Total Expenses]]/ValbyACO_ICC5[[#This Row],[2021 TOTAL Truncated Total Expenses]]-1),"NA")</f>
        <v>NA</v>
      </c>
    </row>
    <row r="132" spans="1:45" ht="16" thickBot="1" x14ac:dyDescent="0.4">
      <c r="B132" s="42" t="s">
        <v>207</v>
      </c>
      <c r="C132" s="42"/>
      <c r="E132" s="15">
        <v>7</v>
      </c>
    </row>
    <row r="133" spans="1:45" ht="43.5" x14ac:dyDescent="0.35">
      <c r="B133" s="289" t="s">
        <v>159</v>
      </c>
      <c r="C133" s="290" t="s">
        <v>542</v>
      </c>
      <c r="D133" s="328" t="s">
        <v>544</v>
      </c>
      <c r="E133" s="306" t="s">
        <v>545</v>
      </c>
      <c r="F133" s="306" t="s">
        <v>546</v>
      </c>
      <c r="G133" s="306" t="s">
        <v>547</v>
      </c>
      <c r="H133" s="306" t="s">
        <v>548</v>
      </c>
      <c r="I133" s="306" t="s">
        <v>549</v>
      </c>
      <c r="J133" s="306" t="s">
        <v>665</v>
      </c>
      <c r="K133" s="306" t="s">
        <v>550</v>
      </c>
      <c r="L133" s="306" t="s">
        <v>551</v>
      </c>
      <c r="M133" s="306" t="s">
        <v>552</v>
      </c>
      <c r="N133" s="306" t="s">
        <v>553</v>
      </c>
      <c r="O133" s="306" t="s">
        <v>554</v>
      </c>
      <c r="P133" s="306" t="s">
        <v>555</v>
      </c>
      <c r="Q133" s="329" t="s">
        <v>556</v>
      </c>
      <c r="R133" s="328" t="s">
        <v>662</v>
      </c>
      <c r="S133" s="306" t="s">
        <v>649</v>
      </c>
      <c r="T133" s="306" t="s">
        <v>650</v>
      </c>
      <c r="U133" s="306" t="s">
        <v>651</v>
      </c>
      <c r="V133" s="306" t="s">
        <v>652</v>
      </c>
      <c r="W133" s="306" t="s">
        <v>653</v>
      </c>
      <c r="X133" s="306" t="s">
        <v>654</v>
      </c>
      <c r="Y133" s="306" t="s">
        <v>655</v>
      </c>
      <c r="Z133" s="306" t="s">
        <v>656</v>
      </c>
      <c r="AA133" s="306" t="s">
        <v>657</v>
      </c>
      <c r="AB133" s="306" t="s">
        <v>658</v>
      </c>
      <c r="AC133" s="306" t="s">
        <v>659</v>
      </c>
      <c r="AD133" s="306" t="s">
        <v>660</v>
      </c>
      <c r="AE133" s="329" t="s">
        <v>661</v>
      </c>
      <c r="AF133" s="403" t="s">
        <v>557</v>
      </c>
      <c r="AG133" s="404" t="s">
        <v>558</v>
      </c>
      <c r="AH133" s="404" t="s">
        <v>559</v>
      </c>
      <c r="AI133" s="404" t="s">
        <v>560</v>
      </c>
      <c r="AJ133" s="404" t="s">
        <v>561</v>
      </c>
      <c r="AK133" s="404" t="s">
        <v>562</v>
      </c>
      <c r="AL133" s="404" t="s">
        <v>563</v>
      </c>
      <c r="AM133" s="404" t="s">
        <v>564</v>
      </c>
      <c r="AN133" s="404" t="s">
        <v>565</v>
      </c>
      <c r="AO133" s="404" t="s">
        <v>566</v>
      </c>
      <c r="AP133" s="404" t="s">
        <v>567</v>
      </c>
      <c r="AQ133" s="404" t="s">
        <v>568</v>
      </c>
      <c r="AR133" s="404" t="s">
        <v>569</v>
      </c>
      <c r="AS133" s="404" t="s">
        <v>570</v>
      </c>
    </row>
    <row r="134" spans="1:45" x14ac:dyDescent="0.35">
      <c r="A134" s="129"/>
      <c r="B134" s="250">
        <v>101</v>
      </c>
      <c r="C134" s="291" t="s">
        <v>167</v>
      </c>
      <c r="D134" s="120">
        <f>SUMIFS(ACOAETME2021[[#All],[Member Months]], ACOAETME2021[[#All],[Insurance Category Code]], $E$132, ACOAETME2021[[#All],[ACO/AE or Insurer Overall Organization ID]], ValbyACO_ICC7[[#This Row],[Org ID]])</f>
        <v>0</v>
      </c>
      <c r="E134" s="268" t="str">
        <f>IFERROR(IF(ValbyACO_ICC7[[#This Row],[2021 Member Months]]=0,"NA",SUMIFS(ACOAETME2021[[#All],[Claims: Hospital Inpatient]], ACOAETME2021[[#All],[Insurance Category Code]], $E$132, ACOAETME2021[[#All],[ACO/AE or Insurer Overall Organization ID]], ValbyACO_ICC7[[#This Row],[Org ID]])/ValbyACO_ICC7[[#This Row],[2021 Member Months]]), "NA")</f>
        <v>NA</v>
      </c>
      <c r="F134" s="341" t="str">
        <f>IFERROR(IF(ValbyACO_ICC7[[#This Row],[2021 Member Months]]=0,"NA",SUMIFS(ACOAETME2021[[#All],[Claims: Hospital Outpatient]], ACOAETME2021[[#All],[Insurance Category Code]], $E$132, ACOAETME2021[[#All],[ACO/AE or Insurer Overall Organization ID]], ValbyACO_ICC7[[#This Row],[Org ID]])/ValbyACO_ICC7[[#This Row],[2021 Member Months]]), "NA")</f>
        <v>NA</v>
      </c>
      <c r="G134" s="341" t="str">
        <f>IFERROR(IF(ValbyACO_ICC7[[#This Row],[2021 Member Months]]=0,"NA",SUMIFS(ACOAETME2021[[#All],[Claims: Professional, Primary Care]], ACOAETME2021[[#All],[Insurance Category Code]], $E$132, ACOAETME2021[[#All],[ACO/AE or Insurer Overall Organization ID]], ValbyACO_ICC7[[#This Row],[Org ID]])/ValbyACO_ICC7[[#This Row],[2021 Member Months]]), "NA")</f>
        <v>NA</v>
      </c>
      <c r="H134" s="341" t="str">
        <f>IFERROR(IF(ValbyACO_ICC7[[#This Row],[2021 Member Months]]=0,"NA",SUMIFS(ACOAETME2021[[#All],[Claims: Professional, Specialty Care]], ACOAETME2021[[#All],[Insurance Category Code]], $E$132, ACOAETME2021[[#All],[ACO/AE or Insurer Overall Organization ID]], ValbyACO_ICC7[[#This Row],[Org ID]])/ValbyACO_ICC7[[#This Row],[2021 Member Months]]), "NA")</f>
        <v>NA</v>
      </c>
      <c r="I134" s="341" t="str">
        <f>IFERROR(IF(ValbyACO_ICC7[[#This Row],[2021 Member Months]]=0,"NA",SUMIFS(ACOAETME2021[[#All],[Claims: Professional Other]], ACOAETME2021[[#All],[Insurance Category Code]], $E$132, ACOAETME2021[[#All],[ACO/AE or Insurer Overall Organization ID]], ValbyACO_ICC7[[#This Row],[Org ID]])/ValbyACO_ICC7[[#This Row],[2021 Member Months]]), "NA")</f>
        <v>NA</v>
      </c>
      <c r="J134" s="341" t="str">
        <f>IFERROR(IF(ValbyACO_ICC7[[#This Row],[2021 Member Months]]=0,"NA",SUMIFS(ACOAETME2021[[#All],[Claims: Pharmacy]], ACOAETME2021[[#All],[Insurance Category Code]], $E$132, ACOAETME2021[[#All],[ACO/AE or Insurer Overall Organization ID]], ValbyACO_ICC7[[#This Row],[Org ID]])/ValbyACO_ICC7[[#This Row],[2021 Member Months]]), "NA")</f>
        <v>NA</v>
      </c>
      <c r="K134" s="341" t="str">
        <f>IFERROR(IF(ValbyACO_ICC7[[#This Row],[2021 Member Months]]=0,"NA",SUMIFS(ACOAETME2021[[#All],[Claims: Long-Term Care]], ACOAETME2021[[#All],[Insurance Category Code]], $E$132, ACOAETME2021[[#All],[ACO/AE or Insurer Overall Organization ID]], ValbyACO_ICC7[[#This Row],[Org ID]])/ValbyACO_ICC7[[#This Row],[2021 Member Months]]), "NA")</f>
        <v>NA</v>
      </c>
      <c r="L134" s="341" t="str">
        <f>IFERROR(IF(ValbyACO_ICC7[[#This Row],[2021 Member Months]]=0,"NA",SUMIFS(ACOAETME2021[[#All],[Claims: Other]], ACOAETME2021[[#All],[Insurance Category Code]], $E$132, ACOAETME2021[[#All],[ACO/AE or Insurer Overall Organization ID]], ValbyACO_ICC7[[#This Row],[Org ID]])/ValbyACO_ICC7[[#This Row],[2021 Member Months]]), "NA")</f>
        <v>NA</v>
      </c>
      <c r="M134" s="130" t="str">
        <f>IF(ValbyACO_ICC7[[#This Row],[2021 Member Months]]=0,"NA",SUMIFS(ACOAETME2021[[#All],[TOTAL Non-Truncated Unadjusted Claims Expenses]], ACOAETME2021[[#All],[Insurance Category Code]], $E$132, ACOAETME2021[[#All],[ACO/AE or Insurer Overall Organization ID]], ValbyACO_ICC7[[#This Row],[Org ID]])/ValbyACO_ICC7[[#This Row],[2021 Member Months]])</f>
        <v>NA</v>
      </c>
      <c r="N134" s="130" t="str">
        <f>IF(ValbyACO_ICC7[[#This Row],[2021 Member Months]]=0,"NA",SUMIFS(ACOAETME2021[[#All],[TOTAL Truncated Unadjusted Claims Expenses (A19 - A17)]], ACOAETME2021[[#All],[Insurance Category Code]], $E$132, ACOAETME2021[[#All],[ACO/AE or Insurer Overall Organization ID]], ValbyACO_ICC7[[#This Row],[Org ID]])/ValbyACO_ICC7[[#This Row],[2021 Member Months]])</f>
        <v>NA</v>
      </c>
      <c r="O134" s="130" t="str">
        <f>IF(ValbyACO_ICC7[[#This Row],[2021 Member Months]]=0,"NA",SUMIFS(ACOAETME2021[[#All],[TOTAL Non-Claims Expenses]], ACOAETME2021[[#All],[Insurance Category Code]], $E$132, ACOAETME2021[[#All],[ACO/AE or Insurer Overall Organization ID]], ValbyACO_ICC7[[#This Row],[Org ID]])/ValbyACO_ICC7[[#This Row],[2021 Member Months]])</f>
        <v>NA</v>
      </c>
      <c r="P134" s="288" t="str">
        <f>IF(ValbyACO_ICC7[[#This Row],[2021 Member Months]]=0, "NA", SUMIFS(ACOAETME2021[[#All],[TOTAL Non-Truncated Unadjusted Expenses 
(A19+A21)]], ACOAETME2021[Insurance Category Code], $E$132, ACOAETME2021[ACO/AE or Insurer Overall Organization ID], ValbyACO_ICC7[[#This Row],[Org ID]])/ValbyACO_ICC7[[#This Row],[2021 Member Months]])</f>
        <v>NA</v>
      </c>
      <c r="Q134" s="119" t="str">
        <f>IF(ValbyACO_ICC7[[#This Row],[2021 Member Months]]=0, "NA", SUMIFS(ACOAETME2021[[#All],[TOTAL Truncated Unadjusted Expenses (A20+A21)]], ACOAETME2021[[#All],[Insurance Category Code]], $E$132, ACOAETME2021[[#All],[ACO/AE or Insurer Overall Organization ID]], ValbyACO_ICC7[[#This Row],[Org ID]])/ValbyACO_ICC7[[#This Row],[2021 Member Months]])</f>
        <v>NA</v>
      </c>
      <c r="R134" s="120">
        <f>SUMIFS(ACOAETME2022[[#All],[Member Months]],ACOAETME2022[[#All],[Insurance Category Code]], $E$132,ACOAETME2022[[#All],[ACO/AE or Insurer Overall Organization ID]],ValbyACO_ICC7[[#This Row],[Org ID]])</f>
        <v>0</v>
      </c>
      <c r="S134" s="118" t="str">
        <f>IF(ValbyACO_ICC7[[#This Row],[2022 Member Months]]=0,"NA",SUMIFS(ACOAETME2022[[#All],[Claims: Hospital Inpatient]],ACOAETME2022[[#All],[Insurance Category Code]], $E$132,ACOAETME2022[[#All],[ACO/AE or Insurer Overall Organization ID]],ValbyACO_ICC7[[#This Row],[Org ID]])/ValbyACO_ICC7[[#This Row],[2022 Member Months]])</f>
        <v>NA</v>
      </c>
      <c r="T134" s="88" t="str">
        <f>IF(ValbyACO_ICC7[[#This Row],[2022 Member Months]]=0,"NA",SUMIFS(ACOAETME2022[[#All],[Claims: Hospital Outpatient]],ACOAETME2022[[#All],[Insurance Category Code]], $E$132,ACOAETME2022[[#All],[ACO/AE or Insurer Overall Organization ID]],ValbyACO_ICC7[[#This Row],[Org ID]])/ValbyACO_ICC7[[#This Row],[2022 Member Months]])</f>
        <v>NA</v>
      </c>
      <c r="U134" s="88" t="str">
        <f>IF(ValbyACO_ICC7[[#This Row],[2022 Member Months]]=0,"NA",SUMIFS(ACOAETME2022[[#All],[Claims: Professional, Primary Care]],ACOAETME2022[[#All],[Insurance Category Code]], $E$132,ACOAETME2022[[#All],[ACO/AE or Insurer Overall Organization ID]],ValbyACO_ICC7[[#This Row],[Org ID]])/ValbyACO_ICC7[[#This Row],[2022 Member Months]])</f>
        <v>NA</v>
      </c>
      <c r="V134" s="88" t="str">
        <f>IF(ValbyACO_ICC7[[#This Row],[2022 Member Months]]=0,"NA",SUMIFS(ACOAETME2022[[#All],[Claims: Professional, Specialty Care]],ACOAETME2022[[#All],[Insurance Category Code]], $E$132,ACOAETME2022[[#All],[ACO/AE or Insurer Overall Organization ID]],ValbyACO_ICC7[[#This Row],[Org ID]])/ValbyACO_ICC7[[#This Row],[2022 Member Months]])</f>
        <v>NA</v>
      </c>
      <c r="W134" s="88" t="str">
        <f>IF(ValbyACO_ICC7[[#This Row],[2022 Member Months]]=0,"NA",SUMIFS(ACOAETME2022[[#All],[Claims: Professional Other]],ACOAETME2022[[#All],[Insurance Category Code]], $E$132,ACOAETME2022[[#All],[ACO/AE or Insurer Overall Organization ID]],ValbyACO_ICC7[[#This Row],[Org ID]])/ValbyACO_ICC7[[#This Row],[2022 Member Months]])</f>
        <v>NA</v>
      </c>
      <c r="X134" s="88" t="str">
        <f>IF(ValbyACO_ICC7[[#This Row],[2022 Member Months]]=0,"NA",SUMIFS(ACOAETME2022[[#All],[Claims: Pharmacy]],ACOAETME2022[[#All],[Insurance Category Code]], $E$132,ACOAETME2022[[#All],[ACO/AE or Insurer Overall Organization ID]],ValbyACO_ICC7[[#This Row],[Org ID]])/ValbyACO_ICC7[[#This Row],[2022 Member Months]])</f>
        <v>NA</v>
      </c>
      <c r="Y134" s="88" t="str">
        <f>IF(ValbyACO_ICC7[[#This Row],[2022 Member Months]]=0,"NA",SUMIFS(ACOAETME2022[[#All],[Claims: Long-Term Care]],ACOAETME2022[[#All],[Insurance Category Code]], $E$132,ACOAETME2022[[#All],[ACO/AE or Insurer Overall Organization ID]],ValbyACO_ICC7[[#This Row],[Org ID]])/ValbyACO_ICC7[[#This Row],[2022 Member Months]])</f>
        <v>NA</v>
      </c>
      <c r="Z134" s="88" t="str">
        <f>IF(ValbyACO_ICC7[[#This Row],[2022 Member Months]]=0,"NA",SUMIFS(ACOAETME2022[[#All],[Claims: Other]],ACOAETME2022[[#All],[Insurance Category Code]], $E$132,ACOAETME2022[[#All],[ACO/AE or Insurer Overall Organization ID]],ValbyACO_ICC7[[#This Row],[Org ID]])/ValbyACO_ICC7[[#This Row],[2022 Member Months]])</f>
        <v>NA</v>
      </c>
      <c r="AA134" s="130" t="str">
        <f>IF(ValbyACO_ICC7[[#This Row],[2022 Member Months]]=0,"NA",SUMIFS(ACOAETME2022[[#All],[TOTAL Non-Truncated Unadjusted Claims Expenses]],ACOAETME2022[[#All],[Insurance Category Code]], $E$132,ACOAETME2022[[#All],[ACO/AE or Insurer Overall Organization ID]],ValbyACO_ICC7[[#This Row],[Org ID]])/ValbyACO_ICC7[[#This Row],[2022 Member Months]])</f>
        <v>NA</v>
      </c>
      <c r="AB134" s="130" t="str">
        <f>IF(ValbyACO_ICC7[[#This Row],[2022 Member Months]]=0,"NA",SUMIFS(ACOAETME2022[[#All],[TOTAL Truncated Unadjusted Expenses (A20+A21)]],ACOAETME2022[[#All],[Insurance Category Code]], $E$132,ACOAETME2022[[#All],[ACO/AE or Insurer Overall Organization ID]],ValbyACO_ICC7[[#This Row],[Org ID]])/ValbyACO_ICC7[[#This Row],[2022 Member Months]])</f>
        <v>NA</v>
      </c>
      <c r="AC134" s="130" t="str">
        <f>IF(ValbyACO_ICC7[[#This Row],[2022 Member Months]]=0,"NA",SUMIFS(ACOAETME2022[[#All],[TOTAL Non-Claims Expenses]],ACOAETME2022[[#All],[Insurance Category Code]], $E$132,ACOAETME2022[[#All],[ACO/AE or Insurer Overall Organization ID]],ValbyACO_ICC7[[#This Row],[Org ID]])/ValbyACO_ICC7[[#This Row],[2022 Member Months]])</f>
        <v>NA</v>
      </c>
      <c r="AD134" s="288" t="str">
        <f>IF(ValbyACO_ICC7[[#This Row],[2022 Member Months]]=0,"NA",SUMIFS(ACOAETME2022[[#All],[TOTAL Non-Truncated Unadjusted Expenses 
(A19+A21)]],ACOAETME2022[[#All],[Insurance Category Code]], $E$132,ACOAETME2022[[#All],[ACO/AE or Insurer Overall Organization ID]],ValbyACO_ICC7[[#This Row],[Org ID]])/ValbyACO_ICC7[[#This Row],[2022 Member Months]])</f>
        <v>NA</v>
      </c>
      <c r="AE134" s="119" t="str">
        <f>IF(ValbyACO_ICC7[[#This Row],[2022 Member Months]]=0,"NA",SUMIFS(ACOAETME2022[[#All],[TOTAL Truncated Unadjusted Expenses (A20+A21)]],ACOAETME2022[[#All],[Insurance Category Code]],$E$132,ACOAETME2022[[#All],[ACO/AE or Insurer Overall Organization ID]],ValbyACO_ICC7[[#This Row],[Org ID]])/ValbyACO_ICC7[[#This Row],[2022 Member Months]])</f>
        <v>NA</v>
      </c>
      <c r="AF134" s="161" t="str">
        <f>IFERROR(IF(ValbyACO_ICC7[[#This Row],[2021 Member Months]]=0,"NA",ValbyACO_ICC7[[#This Row],[2022 Member Months]]/ValbyACO_ICC7[[#This Row],[2021 Member Months]]-1),"NA")</f>
        <v>NA</v>
      </c>
      <c r="AG134" s="161" t="str">
        <f>IFERROR(IF(ValbyACO_ICC7[[#This Row],[2021 Member Months]]=0,"NA",ValbyACO_ICC7[[#This Row],[2022 Claims: Hospital Inpatient]]/ValbyACO_ICC7[[#This Row],[2021 Claims: Hospital Inpatient]]-1),"NA")</f>
        <v>NA</v>
      </c>
      <c r="AH134" s="162" t="str">
        <f>IFERROR(IF(ValbyACO_ICC7[[#This Row],[2021 Member Months]]=0,"NA",ValbyACO_ICC7[[#This Row],[2022 Claims: Hospital Outpatient]]/ValbyACO_ICC7[[#This Row],[2021 Claims: Hospital Outpatient]]-1),"NA")</f>
        <v>NA</v>
      </c>
      <c r="AI134" s="162" t="str">
        <f>IFERROR(IF(ValbyACO_ICC7[[#This Row],[2021 Member Months]]=0,"NA",ValbyACO_ICC7[[#This Row],[2022 Claims: Professional, Primary Care]]/ValbyACO_ICC7[[#This Row],[2021 Claims: Professional, Primary Care]]-1),"NA")</f>
        <v>NA</v>
      </c>
      <c r="AJ134" s="162" t="str">
        <f>IFERROR(IF(ValbyACO_ICC7[[#This Row],[2021 Member Months]]=0,"NA",ValbyACO_ICC7[[#This Row],[2022 Claims: Professional, Specialty Care]]/ValbyACO_ICC7[[#This Row],[2021 Claims: Professional, Specialty Care]]-1),"NA")</f>
        <v>NA</v>
      </c>
      <c r="AK134" s="162" t="str">
        <f>IFERROR(IF(ValbyACO_ICC7[[#This Row],[2021 Member Months]]=0,"NA", ValbyACO_ICC7[[#This Row],[2022 Claims: Professional Other]]/ValbyACO_ICC7[[#This Row],[2021 Claims: Professional Other]]-1),"NA")</f>
        <v>NA</v>
      </c>
      <c r="AL134" s="162" t="str">
        <f>IFERROR(IF(ValbyACO_ICC7[[#This Row],[2021 Member Months]]=0,"NA",ValbyACO_ICC7[[#This Row],[2022 Claims: Pharmacy (Gross of Retail Pharmacy Rebates)]]/ValbyACO_ICC7[[#This Row],[2021 Claims: Pharmacy (Gross of  Rebates)]]-1),"NA")</f>
        <v>NA</v>
      </c>
      <c r="AM134" s="162" t="str">
        <f>IFERROR(IF(ValbyACO_ICC7[[#This Row],[2021 Member Months]]=0,"NA",ValbyACO_ICC7[[#This Row],[2022 Claims: Long-term Care]]/ValbyACO_ICC7[[#This Row],[2021 Claims: Long-term Care]]-1),"NA")</f>
        <v>NA</v>
      </c>
      <c r="AN134" s="162" t="str">
        <f>IFERROR(IF(ValbyACO_ICC7[[#This Row],[2021 Member Months]]=0,"NA",ValbyACO_ICC7[[#This Row],[2022 Claims: Other]]/ValbyACO_ICC7[[#This Row],[2021 Claims: Other]]-1),"NA")</f>
        <v>NA</v>
      </c>
      <c r="AO134" s="163" t="str">
        <f>IFERROR(IF(ValbyACO_ICC7[[#This Row],[2021 Member Months]]=0,"NA",ValbyACO_ICC7[[#This Row],[2022 TOTAL Non-Truncated Claims Expenses]]/ValbyACO_ICC7[[#This Row],[2021 TOTAL Non-Truncated Claims Expenses]]-1),"NA")</f>
        <v>NA</v>
      </c>
      <c r="AP134" s="163" t="str">
        <f>IFERROR(IF(ValbyACO_ICC7[[#This Row],[2021 Member Months]]=0,"NA",ValbyACO_ICC7[[#This Row],[2022 TOTAL Truncated Claims Expenses]]/ValbyACO_ICC7[[#This Row],[2021 TOTAL Truncated Claims Expenses]]-1),"NA")</f>
        <v>NA</v>
      </c>
      <c r="AQ134" s="163" t="str">
        <f>IFERROR(IF(ValbyACO_ICC7[[#This Row],[2021 Member Months]]=0,"NA",ValbyACO_ICC7[[#This Row],[2022 TOTAL Non-Claims Expenses]]/ValbyACO_ICC7[[#This Row],[2021 TOTAL Non-Claims Expenses]]-1),"NA")</f>
        <v>NA</v>
      </c>
      <c r="AR134" s="163" t="str">
        <f>IFERROR(IF(ValbyACO_ICC7[[#This Row],[2021 Member Months]]=0,"NA",ValbyACO_ICC7[[#This Row],[2022 TOTAL Non-Truncated Total Expenses]]/ValbyACO_ICC7[[#This Row],[2021 TOTAL Non-Truncated Total Expenses]]-1),"NA")</f>
        <v>NA</v>
      </c>
      <c r="AS134" s="163" t="str">
        <f>IFERROR(IF(ValbyACO_ICC7[[#This Row],[2021 Member Months]]=0,"NA",ValbyACO_ICC7[[#This Row],[2022 TOTAL Truncated Total Expenses]]/ValbyACO_ICC7[[#This Row],[2021 TOTAL Truncated Total Expenses]]-1),"NA")</f>
        <v>NA</v>
      </c>
    </row>
    <row r="135" spans="1:45" x14ac:dyDescent="0.35">
      <c r="A135" s="129"/>
      <c r="B135" s="250">
        <v>102</v>
      </c>
      <c r="C135" s="291" t="s">
        <v>190</v>
      </c>
      <c r="D135" s="120">
        <f>SUMIFS(ACOAETME2021[[#All],[Member Months]], ACOAETME2021[[#All],[Insurance Category Code]], $E$132, ACOAETME2021[[#All],[ACO/AE or Insurer Overall Organization ID]], ValbyACO_ICC7[[#This Row],[Org ID]])</f>
        <v>0</v>
      </c>
      <c r="E135" s="268" t="str">
        <f>IFERROR(IF(ValbyACO_ICC7[[#This Row],[2021 Member Months]]=0,"NA",SUMIFS(ACOAETME2021[[#All],[Claims: Hospital Inpatient]], ACOAETME2021[[#All],[Insurance Category Code]], $E$132, ACOAETME2021[[#All],[ACO/AE or Insurer Overall Organization ID]], ValbyACO_ICC7[[#This Row],[Org ID]])/ValbyACO_ICC7[[#This Row],[2021 Member Months]]), "NA")</f>
        <v>NA</v>
      </c>
      <c r="F135" s="341" t="str">
        <f>IFERROR(IF(ValbyACO_ICC7[[#This Row],[2021 Member Months]]=0,"NA",SUMIFS(ACOAETME2021[[#All],[Claims: Hospital Outpatient]], ACOAETME2021[[#All],[Insurance Category Code]], $E$132, ACOAETME2021[[#All],[ACO/AE or Insurer Overall Organization ID]], ValbyACO_ICC7[[#This Row],[Org ID]])/ValbyACO_ICC7[[#This Row],[2021 Member Months]]), "NA")</f>
        <v>NA</v>
      </c>
      <c r="G135" s="341" t="str">
        <f>IFERROR(IF(ValbyACO_ICC7[[#This Row],[2021 Member Months]]=0,"NA",SUMIFS(ACOAETME2021[[#All],[Claims: Professional, Primary Care]], ACOAETME2021[[#All],[Insurance Category Code]], $E$132, ACOAETME2021[[#All],[ACO/AE or Insurer Overall Organization ID]], ValbyACO_ICC7[[#This Row],[Org ID]])/ValbyACO_ICC7[[#This Row],[2021 Member Months]]), "NA")</f>
        <v>NA</v>
      </c>
      <c r="H135" s="341" t="str">
        <f>IFERROR(IF(ValbyACO_ICC7[[#This Row],[2021 Member Months]]=0,"NA",SUMIFS(ACOAETME2021[[#All],[Claims: Professional, Specialty Care]], ACOAETME2021[[#All],[Insurance Category Code]], $E$132, ACOAETME2021[[#All],[ACO/AE or Insurer Overall Organization ID]], ValbyACO_ICC7[[#This Row],[Org ID]])/ValbyACO_ICC7[[#This Row],[2021 Member Months]]), "NA")</f>
        <v>NA</v>
      </c>
      <c r="I135" s="341" t="str">
        <f>IFERROR(IF(ValbyACO_ICC7[[#This Row],[2021 Member Months]]=0,"NA",SUMIFS(ACOAETME2021[[#All],[Claims: Professional Other]], ACOAETME2021[[#All],[Insurance Category Code]], $E$132, ACOAETME2021[[#All],[ACO/AE or Insurer Overall Organization ID]], ValbyACO_ICC7[[#This Row],[Org ID]])/ValbyACO_ICC7[[#This Row],[2021 Member Months]]), "NA")</f>
        <v>NA</v>
      </c>
      <c r="J135" s="341" t="str">
        <f>IFERROR(IF(ValbyACO_ICC7[[#This Row],[2021 Member Months]]=0,"NA",SUMIFS(ACOAETME2021[[#All],[Claims: Pharmacy]], ACOAETME2021[[#All],[Insurance Category Code]], $E$132, ACOAETME2021[[#All],[ACO/AE or Insurer Overall Organization ID]], ValbyACO_ICC7[[#This Row],[Org ID]])/ValbyACO_ICC7[[#This Row],[2021 Member Months]]), "NA")</f>
        <v>NA</v>
      </c>
      <c r="K135" s="341" t="str">
        <f>IFERROR(IF(ValbyACO_ICC7[[#This Row],[2021 Member Months]]=0,"NA",SUMIFS(ACOAETME2021[[#All],[Claims: Long-Term Care]], ACOAETME2021[[#All],[Insurance Category Code]], $E$132, ACOAETME2021[[#All],[ACO/AE or Insurer Overall Organization ID]], ValbyACO_ICC7[[#This Row],[Org ID]])/ValbyACO_ICC7[[#This Row],[2021 Member Months]]), "NA")</f>
        <v>NA</v>
      </c>
      <c r="L135" s="341" t="str">
        <f>IFERROR(IF(ValbyACO_ICC7[[#This Row],[2021 Member Months]]=0,"NA",SUMIFS(ACOAETME2021[[#All],[Claims: Other]], ACOAETME2021[[#All],[Insurance Category Code]], $E$132, ACOAETME2021[[#All],[ACO/AE or Insurer Overall Organization ID]], ValbyACO_ICC7[[#This Row],[Org ID]])/ValbyACO_ICC7[[#This Row],[2021 Member Months]]), "NA")</f>
        <v>NA</v>
      </c>
      <c r="M135" s="130" t="str">
        <f>IF(ValbyACO_ICC7[[#This Row],[2021 Member Months]]=0,"NA",SUMIFS(ACOAETME2021[[#All],[TOTAL Non-Truncated Unadjusted Claims Expenses]], ACOAETME2021[[#All],[Insurance Category Code]], $E$132, ACOAETME2021[[#All],[ACO/AE or Insurer Overall Organization ID]], ValbyACO_ICC7[[#This Row],[Org ID]])/ValbyACO_ICC7[[#This Row],[2021 Member Months]])</f>
        <v>NA</v>
      </c>
      <c r="N135" s="130" t="str">
        <f>IF(ValbyACO_ICC7[[#This Row],[2021 Member Months]]=0,"NA",SUMIFS(ACOAETME2021[[#All],[TOTAL Truncated Unadjusted Claims Expenses (A19 - A17)]], ACOAETME2021[[#All],[Insurance Category Code]], $E$132, ACOAETME2021[[#All],[ACO/AE or Insurer Overall Organization ID]], ValbyACO_ICC7[[#This Row],[Org ID]])/ValbyACO_ICC7[[#This Row],[2021 Member Months]])</f>
        <v>NA</v>
      </c>
      <c r="O135" s="130" t="str">
        <f>IF(ValbyACO_ICC7[[#This Row],[2021 Member Months]]=0,"NA",SUMIFS(ACOAETME2021[[#All],[TOTAL Non-Claims Expenses]], ACOAETME2021[[#All],[Insurance Category Code]], $E$132, ACOAETME2021[[#All],[ACO/AE or Insurer Overall Organization ID]], ValbyACO_ICC7[[#This Row],[Org ID]])/ValbyACO_ICC7[[#This Row],[2021 Member Months]])</f>
        <v>NA</v>
      </c>
      <c r="P135" s="288" t="str">
        <f>IF(ValbyACO_ICC7[[#This Row],[2021 Member Months]]=0, "NA", SUMIFS(ACOAETME2021[[#All],[TOTAL Non-Truncated Unadjusted Expenses 
(A19+A21)]], ACOAETME2021[Insurance Category Code], $E$132, ACOAETME2021[ACO/AE or Insurer Overall Organization ID], ValbyACO_ICC7[[#This Row],[Org ID]])/ValbyACO_ICC7[[#This Row],[2021 Member Months]])</f>
        <v>NA</v>
      </c>
      <c r="Q135" s="119" t="str">
        <f>IF(ValbyACO_ICC7[[#This Row],[2021 Member Months]]=0, "NA", SUMIFS(ACOAETME2021[[#All],[TOTAL Truncated Unadjusted Expenses (A20+A21)]], ACOAETME2021[[#All],[Insurance Category Code]], $E$132, ACOAETME2021[[#All],[ACO/AE or Insurer Overall Organization ID]], ValbyACO_ICC7[[#This Row],[Org ID]])/ValbyACO_ICC7[[#This Row],[2021 Member Months]])</f>
        <v>NA</v>
      </c>
      <c r="R135" s="120">
        <f>SUMIFS(ACOAETME2022[[#All],[Member Months]],ACOAETME2022[[#All],[Insurance Category Code]], $E$132,ACOAETME2022[[#All],[ACO/AE or Insurer Overall Organization ID]],ValbyACO_ICC7[[#This Row],[Org ID]])</f>
        <v>0</v>
      </c>
      <c r="S135" s="118" t="str">
        <f>IF(ValbyACO_ICC7[[#This Row],[2022 Member Months]]=0,"NA",SUMIFS(ACOAETME2022[[#All],[Claims: Hospital Inpatient]],ACOAETME2022[[#All],[Insurance Category Code]], $E$132,ACOAETME2022[[#All],[ACO/AE or Insurer Overall Organization ID]],ValbyACO_ICC7[[#This Row],[Org ID]])/ValbyACO_ICC7[[#This Row],[2022 Member Months]])</f>
        <v>NA</v>
      </c>
      <c r="T135" s="88" t="str">
        <f>IF(ValbyACO_ICC7[[#This Row],[2022 Member Months]]=0,"NA",SUMIFS(ACOAETME2022[[#All],[Claims: Hospital Outpatient]],ACOAETME2022[[#All],[Insurance Category Code]], $E$132,ACOAETME2022[[#All],[ACO/AE or Insurer Overall Organization ID]],ValbyACO_ICC7[[#This Row],[Org ID]])/ValbyACO_ICC7[[#This Row],[2022 Member Months]])</f>
        <v>NA</v>
      </c>
      <c r="U135" s="88" t="str">
        <f>IF(ValbyACO_ICC7[[#This Row],[2022 Member Months]]=0,"NA",SUMIFS(ACOAETME2022[[#All],[Claims: Professional, Primary Care]],ACOAETME2022[[#All],[Insurance Category Code]], $E$132,ACOAETME2022[[#All],[ACO/AE or Insurer Overall Organization ID]],ValbyACO_ICC7[[#This Row],[Org ID]])/ValbyACO_ICC7[[#This Row],[2022 Member Months]])</f>
        <v>NA</v>
      </c>
      <c r="V135" s="88" t="str">
        <f>IF(ValbyACO_ICC7[[#This Row],[2022 Member Months]]=0,"NA",SUMIFS(ACOAETME2022[[#All],[Claims: Professional, Specialty Care]],ACOAETME2022[[#All],[Insurance Category Code]], $E$132,ACOAETME2022[[#All],[ACO/AE or Insurer Overall Organization ID]],ValbyACO_ICC7[[#This Row],[Org ID]])/ValbyACO_ICC7[[#This Row],[2022 Member Months]])</f>
        <v>NA</v>
      </c>
      <c r="W135" s="88" t="str">
        <f>IF(ValbyACO_ICC7[[#This Row],[2022 Member Months]]=0,"NA",SUMIFS(ACOAETME2022[[#All],[Claims: Professional Other]],ACOAETME2022[[#All],[Insurance Category Code]], $E$132,ACOAETME2022[[#All],[ACO/AE or Insurer Overall Organization ID]],ValbyACO_ICC7[[#This Row],[Org ID]])/ValbyACO_ICC7[[#This Row],[2022 Member Months]])</f>
        <v>NA</v>
      </c>
      <c r="X135" s="88" t="str">
        <f>IF(ValbyACO_ICC7[[#This Row],[2022 Member Months]]=0,"NA",SUMIFS(ACOAETME2022[[#All],[Claims: Pharmacy]],ACOAETME2022[[#All],[Insurance Category Code]], $E$132,ACOAETME2022[[#All],[ACO/AE or Insurer Overall Organization ID]],ValbyACO_ICC7[[#This Row],[Org ID]])/ValbyACO_ICC7[[#This Row],[2022 Member Months]])</f>
        <v>NA</v>
      </c>
      <c r="Y135" s="88" t="str">
        <f>IF(ValbyACO_ICC7[[#This Row],[2022 Member Months]]=0,"NA",SUMIFS(ACOAETME2022[[#All],[Claims: Long-Term Care]],ACOAETME2022[[#All],[Insurance Category Code]], $E$132,ACOAETME2022[[#All],[ACO/AE or Insurer Overall Organization ID]],ValbyACO_ICC7[[#This Row],[Org ID]])/ValbyACO_ICC7[[#This Row],[2022 Member Months]])</f>
        <v>NA</v>
      </c>
      <c r="Z135" s="88" t="str">
        <f>IF(ValbyACO_ICC7[[#This Row],[2022 Member Months]]=0,"NA",SUMIFS(ACOAETME2022[[#All],[Claims: Other]],ACOAETME2022[[#All],[Insurance Category Code]], $E$132,ACOAETME2022[[#All],[ACO/AE or Insurer Overall Organization ID]],ValbyACO_ICC7[[#This Row],[Org ID]])/ValbyACO_ICC7[[#This Row],[2022 Member Months]])</f>
        <v>NA</v>
      </c>
      <c r="AA135" s="130" t="str">
        <f>IF(ValbyACO_ICC7[[#This Row],[2022 Member Months]]=0,"NA",SUMIFS(ACOAETME2022[[#All],[TOTAL Non-Truncated Unadjusted Claims Expenses]],ACOAETME2022[[#All],[Insurance Category Code]], $E$132,ACOAETME2022[[#All],[ACO/AE or Insurer Overall Organization ID]],ValbyACO_ICC7[[#This Row],[Org ID]])/ValbyACO_ICC7[[#This Row],[2022 Member Months]])</f>
        <v>NA</v>
      </c>
      <c r="AB135" s="130" t="str">
        <f>IF(ValbyACO_ICC7[[#This Row],[2022 Member Months]]=0,"NA",SUMIFS(ACOAETME2022[[#All],[TOTAL Truncated Unadjusted Expenses (A20+A21)]],ACOAETME2022[[#All],[Insurance Category Code]], $E$132,ACOAETME2022[[#All],[ACO/AE or Insurer Overall Organization ID]],ValbyACO_ICC7[[#This Row],[Org ID]])/ValbyACO_ICC7[[#This Row],[2022 Member Months]])</f>
        <v>NA</v>
      </c>
      <c r="AC135" s="130" t="str">
        <f>IF(ValbyACO_ICC7[[#This Row],[2022 Member Months]]=0,"NA",SUMIFS(ACOAETME2022[[#All],[TOTAL Non-Claims Expenses]],ACOAETME2022[[#All],[Insurance Category Code]], $E$132,ACOAETME2022[[#All],[ACO/AE or Insurer Overall Organization ID]],ValbyACO_ICC7[[#This Row],[Org ID]])/ValbyACO_ICC7[[#This Row],[2022 Member Months]])</f>
        <v>NA</v>
      </c>
      <c r="AD135" s="288" t="str">
        <f>IF(ValbyACO_ICC7[[#This Row],[2022 Member Months]]=0,"NA",SUMIFS(ACOAETME2022[[#All],[TOTAL Non-Truncated Unadjusted Expenses 
(A19+A21)]],ACOAETME2022[[#All],[Insurance Category Code]], $E$132,ACOAETME2022[[#All],[ACO/AE or Insurer Overall Organization ID]],ValbyACO_ICC7[[#This Row],[Org ID]])/ValbyACO_ICC7[[#This Row],[2022 Member Months]])</f>
        <v>NA</v>
      </c>
      <c r="AE135" s="119" t="str">
        <f>IF(ValbyACO_ICC7[[#This Row],[2022 Member Months]]=0,"NA",SUMIFS(ACOAETME2022[[#All],[TOTAL Truncated Unadjusted Expenses (A20+A21)]],ACOAETME2022[[#All],[Insurance Category Code]],$E$132,ACOAETME2022[[#All],[ACO/AE or Insurer Overall Organization ID]],ValbyACO_ICC7[[#This Row],[Org ID]])/ValbyACO_ICC7[[#This Row],[2022 Member Months]])</f>
        <v>NA</v>
      </c>
      <c r="AF135" s="161" t="str">
        <f>IFERROR(IF(ValbyACO_ICC7[[#This Row],[2021 Member Months]]=0,"NA",ValbyACO_ICC7[[#This Row],[2022 Member Months]]/ValbyACO_ICC7[[#This Row],[2021 Member Months]]-1),"NA")</f>
        <v>NA</v>
      </c>
      <c r="AG135" s="161" t="str">
        <f>IFERROR(IF(ValbyACO_ICC7[[#This Row],[2021 Member Months]]=0,"NA",ValbyACO_ICC7[[#This Row],[2022 Claims: Hospital Inpatient]]/ValbyACO_ICC7[[#This Row],[2021 Claims: Hospital Inpatient]]-1),"NA")</f>
        <v>NA</v>
      </c>
      <c r="AH135" s="162" t="str">
        <f>IFERROR(IF(ValbyACO_ICC7[[#This Row],[2021 Member Months]]=0,"NA",ValbyACO_ICC7[[#This Row],[2022 Claims: Hospital Outpatient]]/ValbyACO_ICC7[[#This Row],[2021 Claims: Hospital Outpatient]]-1),"NA")</f>
        <v>NA</v>
      </c>
      <c r="AI135" s="162" t="str">
        <f>IFERROR(IF(ValbyACO_ICC7[[#This Row],[2021 Member Months]]=0,"NA",ValbyACO_ICC7[[#This Row],[2022 Claims: Professional, Primary Care]]/ValbyACO_ICC7[[#This Row],[2021 Claims: Professional, Primary Care]]-1),"NA")</f>
        <v>NA</v>
      </c>
      <c r="AJ135" s="162" t="str">
        <f>IFERROR(IF(ValbyACO_ICC7[[#This Row],[2021 Member Months]]=0,"NA",ValbyACO_ICC7[[#This Row],[2022 Claims: Professional, Specialty Care]]/ValbyACO_ICC7[[#This Row],[2021 Claims: Professional, Specialty Care]]-1),"NA")</f>
        <v>NA</v>
      </c>
      <c r="AK135" s="162" t="str">
        <f>IFERROR(IF(ValbyACO_ICC7[[#This Row],[2021 Member Months]]=0,"NA", ValbyACO_ICC7[[#This Row],[2022 Claims: Professional Other]]/ValbyACO_ICC7[[#This Row],[2021 Claims: Professional Other]]-1),"NA")</f>
        <v>NA</v>
      </c>
      <c r="AL135" s="162" t="str">
        <f>IFERROR(IF(ValbyACO_ICC7[[#This Row],[2021 Member Months]]=0,"NA",ValbyACO_ICC7[[#This Row],[2022 Claims: Pharmacy (Gross of Retail Pharmacy Rebates)]]/ValbyACO_ICC7[[#This Row],[2021 Claims: Pharmacy (Gross of  Rebates)]]-1),"NA")</f>
        <v>NA</v>
      </c>
      <c r="AM135" s="162" t="str">
        <f>IFERROR(IF(ValbyACO_ICC7[[#This Row],[2021 Member Months]]=0,"NA",ValbyACO_ICC7[[#This Row],[2022 Claims: Long-term Care]]/ValbyACO_ICC7[[#This Row],[2021 Claims: Long-term Care]]-1),"NA")</f>
        <v>NA</v>
      </c>
      <c r="AN135" s="162" t="str">
        <f>IFERROR(IF(ValbyACO_ICC7[[#This Row],[2021 Member Months]]=0,"NA",ValbyACO_ICC7[[#This Row],[2022 Claims: Other]]/ValbyACO_ICC7[[#This Row],[2021 Claims: Other]]-1),"NA")</f>
        <v>NA</v>
      </c>
      <c r="AO135" s="163" t="str">
        <f>IFERROR(IF(ValbyACO_ICC7[[#This Row],[2021 Member Months]]=0,"NA",ValbyACO_ICC7[[#This Row],[2022 TOTAL Non-Truncated Claims Expenses]]/ValbyACO_ICC7[[#This Row],[2021 TOTAL Non-Truncated Claims Expenses]]-1),"NA")</f>
        <v>NA</v>
      </c>
      <c r="AP135" s="163" t="str">
        <f>IFERROR(IF(ValbyACO_ICC7[[#This Row],[2021 Member Months]]=0,"NA",ValbyACO_ICC7[[#This Row],[2022 TOTAL Truncated Claims Expenses]]/ValbyACO_ICC7[[#This Row],[2021 TOTAL Truncated Claims Expenses]]-1),"NA")</f>
        <v>NA</v>
      </c>
      <c r="AQ135" s="163" t="str">
        <f>IFERROR(IF(ValbyACO_ICC7[[#This Row],[2021 Member Months]]=0,"NA",ValbyACO_ICC7[[#This Row],[2022 TOTAL Non-Claims Expenses]]/ValbyACO_ICC7[[#This Row],[2021 TOTAL Non-Claims Expenses]]-1),"NA")</f>
        <v>NA</v>
      </c>
      <c r="AR135" s="163" t="str">
        <f>IFERROR(IF(ValbyACO_ICC7[[#This Row],[2021 Member Months]]=0,"NA",ValbyACO_ICC7[[#This Row],[2022 TOTAL Non-Truncated Total Expenses]]/ValbyACO_ICC7[[#This Row],[2021 TOTAL Non-Truncated Total Expenses]]-1),"NA")</f>
        <v>NA</v>
      </c>
      <c r="AS135" s="163" t="str">
        <f>IFERROR(IF(ValbyACO_ICC7[[#This Row],[2021 Member Months]]=0,"NA",ValbyACO_ICC7[[#This Row],[2022 TOTAL Truncated Total Expenses]]/ValbyACO_ICC7[[#This Row],[2021 TOTAL Truncated Total Expenses]]-1),"NA")</f>
        <v>NA</v>
      </c>
    </row>
    <row r="136" spans="1:45" x14ac:dyDescent="0.35">
      <c r="A136" s="129"/>
      <c r="B136" s="250">
        <v>103</v>
      </c>
      <c r="C136" s="291" t="s">
        <v>168</v>
      </c>
      <c r="D136" s="120">
        <f>SUMIFS(ACOAETME2021[[#All],[Member Months]], ACOAETME2021[[#All],[Insurance Category Code]], $E$132, ACOAETME2021[[#All],[ACO/AE or Insurer Overall Organization ID]], ValbyACO_ICC7[[#This Row],[Org ID]])</f>
        <v>0</v>
      </c>
      <c r="E136" s="268" t="str">
        <f>IFERROR(IF(ValbyACO_ICC7[[#This Row],[2021 Member Months]]=0,"NA",SUMIFS(ACOAETME2021[[#All],[Claims: Hospital Inpatient]], ACOAETME2021[[#All],[Insurance Category Code]], $E$132, ACOAETME2021[[#All],[ACO/AE or Insurer Overall Organization ID]], ValbyACO_ICC7[[#This Row],[Org ID]])/ValbyACO_ICC7[[#This Row],[2021 Member Months]]), "NA")</f>
        <v>NA</v>
      </c>
      <c r="F136" s="341" t="str">
        <f>IFERROR(IF(ValbyACO_ICC7[[#This Row],[2021 Member Months]]=0,"NA",SUMIFS(ACOAETME2021[[#All],[Claims: Hospital Outpatient]], ACOAETME2021[[#All],[Insurance Category Code]], $E$132, ACOAETME2021[[#All],[ACO/AE or Insurer Overall Organization ID]], ValbyACO_ICC7[[#This Row],[Org ID]])/ValbyACO_ICC7[[#This Row],[2021 Member Months]]), "NA")</f>
        <v>NA</v>
      </c>
      <c r="G136" s="341" t="str">
        <f>IFERROR(IF(ValbyACO_ICC7[[#This Row],[2021 Member Months]]=0,"NA",SUMIFS(ACOAETME2021[[#All],[Claims: Professional, Primary Care]], ACOAETME2021[[#All],[Insurance Category Code]], $E$132, ACOAETME2021[[#All],[ACO/AE or Insurer Overall Organization ID]], ValbyACO_ICC7[[#This Row],[Org ID]])/ValbyACO_ICC7[[#This Row],[2021 Member Months]]), "NA")</f>
        <v>NA</v>
      </c>
      <c r="H136" s="341" t="str">
        <f>IFERROR(IF(ValbyACO_ICC7[[#This Row],[2021 Member Months]]=0,"NA",SUMIFS(ACOAETME2021[[#All],[Claims: Professional, Specialty Care]], ACOAETME2021[[#All],[Insurance Category Code]], $E$132, ACOAETME2021[[#All],[ACO/AE or Insurer Overall Organization ID]], ValbyACO_ICC7[[#This Row],[Org ID]])/ValbyACO_ICC7[[#This Row],[2021 Member Months]]), "NA")</f>
        <v>NA</v>
      </c>
      <c r="I136" s="341" t="str">
        <f>IFERROR(IF(ValbyACO_ICC7[[#This Row],[2021 Member Months]]=0,"NA",SUMIFS(ACOAETME2021[[#All],[Claims: Professional Other]], ACOAETME2021[[#All],[Insurance Category Code]], $E$132, ACOAETME2021[[#All],[ACO/AE or Insurer Overall Organization ID]], ValbyACO_ICC7[[#This Row],[Org ID]])/ValbyACO_ICC7[[#This Row],[2021 Member Months]]), "NA")</f>
        <v>NA</v>
      </c>
      <c r="J136" s="341" t="str">
        <f>IFERROR(IF(ValbyACO_ICC7[[#This Row],[2021 Member Months]]=0,"NA",SUMIFS(ACOAETME2021[[#All],[Claims: Pharmacy]], ACOAETME2021[[#All],[Insurance Category Code]], $E$132, ACOAETME2021[[#All],[ACO/AE or Insurer Overall Organization ID]], ValbyACO_ICC7[[#This Row],[Org ID]])/ValbyACO_ICC7[[#This Row],[2021 Member Months]]), "NA")</f>
        <v>NA</v>
      </c>
      <c r="K136" s="341" t="str">
        <f>IFERROR(IF(ValbyACO_ICC7[[#This Row],[2021 Member Months]]=0,"NA",SUMIFS(ACOAETME2021[[#All],[Claims: Long-Term Care]], ACOAETME2021[[#All],[Insurance Category Code]], $E$132, ACOAETME2021[[#All],[ACO/AE or Insurer Overall Organization ID]], ValbyACO_ICC7[[#This Row],[Org ID]])/ValbyACO_ICC7[[#This Row],[2021 Member Months]]), "NA")</f>
        <v>NA</v>
      </c>
      <c r="L136" s="341" t="str">
        <f>IFERROR(IF(ValbyACO_ICC7[[#This Row],[2021 Member Months]]=0,"NA",SUMIFS(ACOAETME2021[[#All],[Claims: Other]], ACOAETME2021[[#All],[Insurance Category Code]], $E$132, ACOAETME2021[[#All],[ACO/AE or Insurer Overall Organization ID]], ValbyACO_ICC7[[#This Row],[Org ID]])/ValbyACO_ICC7[[#This Row],[2021 Member Months]]), "NA")</f>
        <v>NA</v>
      </c>
      <c r="M136" s="130" t="str">
        <f>IF(ValbyACO_ICC7[[#This Row],[2021 Member Months]]=0,"NA",SUMIFS(ACOAETME2021[[#All],[TOTAL Non-Truncated Unadjusted Claims Expenses]], ACOAETME2021[[#All],[Insurance Category Code]], $E$132, ACOAETME2021[[#All],[ACO/AE or Insurer Overall Organization ID]], ValbyACO_ICC7[[#This Row],[Org ID]])/ValbyACO_ICC7[[#This Row],[2021 Member Months]])</f>
        <v>NA</v>
      </c>
      <c r="N136" s="130" t="str">
        <f>IF(ValbyACO_ICC7[[#This Row],[2021 Member Months]]=0,"NA",SUMIFS(ACOAETME2021[[#All],[TOTAL Truncated Unadjusted Claims Expenses (A19 - A17)]], ACOAETME2021[[#All],[Insurance Category Code]], $E$132, ACOAETME2021[[#All],[ACO/AE or Insurer Overall Organization ID]], ValbyACO_ICC7[[#This Row],[Org ID]])/ValbyACO_ICC7[[#This Row],[2021 Member Months]])</f>
        <v>NA</v>
      </c>
      <c r="O136" s="130" t="str">
        <f>IF(ValbyACO_ICC7[[#This Row],[2021 Member Months]]=0,"NA",SUMIFS(ACOAETME2021[[#All],[TOTAL Non-Claims Expenses]], ACOAETME2021[[#All],[Insurance Category Code]], $E$132, ACOAETME2021[[#All],[ACO/AE or Insurer Overall Organization ID]], ValbyACO_ICC7[[#This Row],[Org ID]])/ValbyACO_ICC7[[#This Row],[2021 Member Months]])</f>
        <v>NA</v>
      </c>
      <c r="P136" s="288" t="str">
        <f>IF(ValbyACO_ICC7[[#This Row],[2021 Member Months]]=0, "NA", SUMIFS(ACOAETME2021[[#All],[TOTAL Non-Truncated Unadjusted Expenses 
(A19+A21)]], ACOAETME2021[Insurance Category Code], $E$132, ACOAETME2021[ACO/AE or Insurer Overall Organization ID], ValbyACO_ICC7[[#This Row],[Org ID]])/ValbyACO_ICC7[[#This Row],[2021 Member Months]])</f>
        <v>NA</v>
      </c>
      <c r="Q136" s="119" t="str">
        <f>IF(ValbyACO_ICC7[[#This Row],[2021 Member Months]]=0, "NA", SUMIFS(ACOAETME2021[[#All],[TOTAL Truncated Unadjusted Expenses (A20+A21)]], ACOAETME2021[[#All],[Insurance Category Code]], $E$132, ACOAETME2021[[#All],[ACO/AE or Insurer Overall Organization ID]], ValbyACO_ICC7[[#This Row],[Org ID]])/ValbyACO_ICC7[[#This Row],[2021 Member Months]])</f>
        <v>NA</v>
      </c>
      <c r="R136" s="120">
        <f>SUMIFS(ACOAETME2022[[#All],[Member Months]],ACOAETME2022[[#All],[Insurance Category Code]], $E$132,ACOAETME2022[[#All],[ACO/AE or Insurer Overall Organization ID]],ValbyACO_ICC7[[#This Row],[Org ID]])</f>
        <v>0</v>
      </c>
      <c r="S136" s="118" t="str">
        <f>IF(ValbyACO_ICC7[[#This Row],[2022 Member Months]]=0,"NA",SUMIFS(ACOAETME2022[[#All],[Claims: Hospital Inpatient]],ACOAETME2022[[#All],[Insurance Category Code]], $E$132,ACOAETME2022[[#All],[ACO/AE or Insurer Overall Organization ID]],ValbyACO_ICC7[[#This Row],[Org ID]])/ValbyACO_ICC7[[#This Row],[2022 Member Months]])</f>
        <v>NA</v>
      </c>
      <c r="T136" s="88" t="str">
        <f>IF(ValbyACO_ICC7[[#This Row],[2022 Member Months]]=0,"NA",SUMIFS(ACOAETME2022[[#All],[Claims: Hospital Outpatient]],ACOAETME2022[[#All],[Insurance Category Code]], $E$132,ACOAETME2022[[#All],[ACO/AE or Insurer Overall Organization ID]],ValbyACO_ICC7[[#This Row],[Org ID]])/ValbyACO_ICC7[[#This Row],[2022 Member Months]])</f>
        <v>NA</v>
      </c>
      <c r="U136" s="88" t="str">
        <f>IF(ValbyACO_ICC7[[#This Row],[2022 Member Months]]=0,"NA",SUMIFS(ACOAETME2022[[#All],[Claims: Professional, Primary Care]],ACOAETME2022[[#All],[Insurance Category Code]], $E$132,ACOAETME2022[[#All],[ACO/AE or Insurer Overall Organization ID]],ValbyACO_ICC7[[#This Row],[Org ID]])/ValbyACO_ICC7[[#This Row],[2022 Member Months]])</f>
        <v>NA</v>
      </c>
      <c r="V136" s="88" t="str">
        <f>IF(ValbyACO_ICC7[[#This Row],[2022 Member Months]]=0,"NA",SUMIFS(ACOAETME2022[[#All],[Claims: Professional, Specialty Care]],ACOAETME2022[[#All],[Insurance Category Code]], $E$132,ACOAETME2022[[#All],[ACO/AE or Insurer Overall Organization ID]],ValbyACO_ICC7[[#This Row],[Org ID]])/ValbyACO_ICC7[[#This Row],[2022 Member Months]])</f>
        <v>NA</v>
      </c>
      <c r="W136" s="88" t="str">
        <f>IF(ValbyACO_ICC7[[#This Row],[2022 Member Months]]=0,"NA",SUMIFS(ACOAETME2022[[#All],[Claims: Professional Other]],ACOAETME2022[[#All],[Insurance Category Code]], $E$132,ACOAETME2022[[#All],[ACO/AE or Insurer Overall Organization ID]],ValbyACO_ICC7[[#This Row],[Org ID]])/ValbyACO_ICC7[[#This Row],[2022 Member Months]])</f>
        <v>NA</v>
      </c>
      <c r="X136" s="88" t="str">
        <f>IF(ValbyACO_ICC7[[#This Row],[2022 Member Months]]=0,"NA",SUMIFS(ACOAETME2022[[#All],[Claims: Pharmacy]],ACOAETME2022[[#All],[Insurance Category Code]], $E$132,ACOAETME2022[[#All],[ACO/AE or Insurer Overall Organization ID]],ValbyACO_ICC7[[#This Row],[Org ID]])/ValbyACO_ICC7[[#This Row],[2022 Member Months]])</f>
        <v>NA</v>
      </c>
      <c r="Y136" s="88" t="str">
        <f>IF(ValbyACO_ICC7[[#This Row],[2022 Member Months]]=0,"NA",SUMIFS(ACOAETME2022[[#All],[Claims: Long-Term Care]],ACOAETME2022[[#All],[Insurance Category Code]], $E$132,ACOAETME2022[[#All],[ACO/AE or Insurer Overall Organization ID]],ValbyACO_ICC7[[#This Row],[Org ID]])/ValbyACO_ICC7[[#This Row],[2022 Member Months]])</f>
        <v>NA</v>
      </c>
      <c r="Z136" s="88" t="str">
        <f>IF(ValbyACO_ICC7[[#This Row],[2022 Member Months]]=0,"NA",SUMIFS(ACOAETME2022[[#All],[Claims: Other]],ACOAETME2022[[#All],[Insurance Category Code]], $E$132,ACOAETME2022[[#All],[ACO/AE or Insurer Overall Organization ID]],ValbyACO_ICC7[[#This Row],[Org ID]])/ValbyACO_ICC7[[#This Row],[2022 Member Months]])</f>
        <v>NA</v>
      </c>
      <c r="AA136" s="130" t="str">
        <f>IF(ValbyACO_ICC7[[#This Row],[2022 Member Months]]=0,"NA",SUMIFS(ACOAETME2022[[#All],[TOTAL Non-Truncated Unadjusted Claims Expenses]],ACOAETME2022[[#All],[Insurance Category Code]], $E$132,ACOAETME2022[[#All],[ACO/AE or Insurer Overall Organization ID]],ValbyACO_ICC7[[#This Row],[Org ID]])/ValbyACO_ICC7[[#This Row],[2022 Member Months]])</f>
        <v>NA</v>
      </c>
      <c r="AB136" s="130" t="str">
        <f>IF(ValbyACO_ICC7[[#This Row],[2022 Member Months]]=0,"NA",SUMIFS(ACOAETME2022[[#All],[TOTAL Truncated Unadjusted Expenses (A20+A21)]],ACOAETME2022[[#All],[Insurance Category Code]], $E$132,ACOAETME2022[[#All],[ACO/AE or Insurer Overall Organization ID]],ValbyACO_ICC7[[#This Row],[Org ID]])/ValbyACO_ICC7[[#This Row],[2022 Member Months]])</f>
        <v>NA</v>
      </c>
      <c r="AC136" s="130" t="str">
        <f>IF(ValbyACO_ICC7[[#This Row],[2022 Member Months]]=0,"NA",SUMIFS(ACOAETME2022[[#All],[TOTAL Non-Claims Expenses]],ACOAETME2022[[#All],[Insurance Category Code]], $E$132,ACOAETME2022[[#All],[ACO/AE or Insurer Overall Organization ID]],ValbyACO_ICC7[[#This Row],[Org ID]])/ValbyACO_ICC7[[#This Row],[2022 Member Months]])</f>
        <v>NA</v>
      </c>
      <c r="AD136" s="288" t="str">
        <f>IF(ValbyACO_ICC7[[#This Row],[2022 Member Months]]=0,"NA",SUMIFS(ACOAETME2022[[#All],[TOTAL Non-Truncated Unadjusted Expenses 
(A19+A21)]],ACOAETME2022[[#All],[Insurance Category Code]], $E$132,ACOAETME2022[[#All],[ACO/AE or Insurer Overall Organization ID]],ValbyACO_ICC7[[#This Row],[Org ID]])/ValbyACO_ICC7[[#This Row],[2022 Member Months]])</f>
        <v>NA</v>
      </c>
      <c r="AE136" s="119" t="str">
        <f>IF(ValbyACO_ICC7[[#This Row],[2022 Member Months]]=0,"NA",SUMIFS(ACOAETME2022[[#All],[TOTAL Truncated Unadjusted Expenses (A20+A21)]],ACOAETME2022[[#All],[Insurance Category Code]],$E$132,ACOAETME2022[[#All],[ACO/AE or Insurer Overall Organization ID]],ValbyACO_ICC7[[#This Row],[Org ID]])/ValbyACO_ICC7[[#This Row],[2022 Member Months]])</f>
        <v>NA</v>
      </c>
      <c r="AF136" s="161" t="str">
        <f>IFERROR(IF(ValbyACO_ICC7[[#This Row],[2021 Member Months]]=0,"NA",ValbyACO_ICC7[[#This Row],[2022 Member Months]]/ValbyACO_ICC7[[#This Row],[2021 Member Months]]-1),"NA")</f>
        <v>NA</v>
      </c>
      <c r="AG136" s="161" t="str">
        <f>IFERROR(IF(ValbyACO_ICC7[[#This Row],[2021 Member Months]]=0,"NA",ValbyACO_ICC7[[#This Row],[2022 Claims: Hospital Inpatient]]/ValbyACO_ICC7[[#This Row],[2021 Claims: Hospital Inpatient]]-1),"NA")</f>
        <v>NA</v>
      </c>
      <c r="AH136" s="162" t="str">
        <f>IFERROR(IF(ValbyACO_ICC7[[#This Row],[2021 Member Months]]=0,"NA",ValbyACO_ICC7[[#This Row],[2022 Claims: Hospital Outpatient]]/ValbyACO_ICC7[[#This Row],[2021 Claims: Hospital Outpatient]]-1),"NA")</f>
        <v>NA</v>
      </c>
      <c r="AI136" s="162" t="str">
        <f>IFERROR(IF(ValbyACO_ICC7[[#This Row],[2021 Member Months]]=0,"NA",ValbyACO_ICC7[[#This Row],[2022 Claims: Professional, Primary Care]]/ValbyACO_ICC7[[#This Row],[2021 Claims: Professional, Primary Care]]-1),"NA")</f>
        <v>NA</v>
      </c>
      <c r="AJ136" s="162" t="str">
        <f>IFERROR(IF(ValbyACO_ICC7[[#This Row],[2021 Member Months]]=0,"NA",ValbyACO_ICC7[[#This Row],[2022 Claims: Professional, Specialty Care]]/ValbyACO_ICC7[[#This Row],[2021 Claims: Professional, Specialty Care]]-1),"NA")</f>
        <v>NA</v>
      </c>
      <c r="AK136" s="162" t="str">
        <f>IFERROR(IF(ValbyACO_ICC7[[#This Row],[2021 Member Months]]=0,"NA", ValbyACO_ICC7[[#This Row],[2022 Claims: Professional Other]]/ValbyACO_ICC7[[#This Row],[2021 Claims: Professional Other]]-1),"NA")</f>
        <v>NA</v>
      </c>
      <c r="AL136" s="162" t="str">
        <f>IFERROR(IF(ValbyACO_ICC7[[#This Row],[2021 Member Months]]=0,"NA",ValbyACO_ICC7[[#This Row],[2022 Claims: Pharmacy (Gross of Retail Pharmacy Rebates)]]/ValbyACO_ICC7[[#This Row],[2021 Claims: Pharmacy (Gross of  Rebates)]]-1),"NA")</f>
        <v>NA</v>
      </c>
      <c r="AM136" s="162" t="str">
        <f>IFERROR(IF(ValbyACO_ICC7[[#This Row],[2021 Member Months]]=0,"NA",ValbyACO_ICC7[[#This Row],[2022 Claims: Long-term Care]]/ValbyACO_ICC7[[#This Row],[2021 Claims: Long-term Care]]-1),"NA")</f>
        <v>NA</v>
      </c>
      <c r="AN136" s="162" t="str">
        <f>IFERROR(IF(ValbyACO_ICC7[[#This Row],[2021 Member Months]]=0,"NA",ValbyACO_ICC7[[#This Row],[2022 Claims: Other]]/ValbyACO_ICC7[[#This Row],[2021 Claims: Other]]-1),"NA")</f>
        <v>NA</v>
      </c>
      <c r="AO136" s="163" t="str">
        <f>IFERROR(IF(ValbyACO_ICC7[[#This Row],[2021 Member Months]]=0,"NA",ValbyACO_ICC7[[#This Row],[2022 TOTAL Non-Truncated Claims Expenses]]/ValbyACO_ICC7[[#This Row],[2021 TOTAL Non-Truncated Claims Expenses]]-1),"NA")</f>
        <v>NA</v>
      </c>
      <c r="AP136" s="163" t="str">
        <f>IFERROR(IF(ValbyACO_ICC7[[#This Row],[2021 Member Months]]=0,"NA",ValbyACO_ICC7[[#This Row],[2022 TOTAL Truncated Claims Expenses]]/ValbyACO_ICC7[[#This Row],[2021 TOTAL Truncated Claims Expenses]]-1),"NA")</f>
        <v>NA</v>
      </c>
      <c r="AQ136" s="163" t="str">
        <f>IFERROR(IF(ValbyACO_ICC7[[#This Row],[2021 Member Months]]=0,"NA",ValbyACO_ICC7[[#This Row],[2022 TOTAL Non-Claims Expenses]]/ValbyACO_ICC7[[#This Row],[2021 TOTAL Non-Claims Expenses]]-1),"NA")</f>
        <v>NA</v>
      </c>
      <c r="AR136" s="163" t="str">
        <f>IFERROR(IF(ValbyACO_ICC7[[#This Row],[2021 Member Months]]=0,"NA",ValbyACO_ICC7[[#This Row],[2022 TOTAL Non-Truncated Total Expenses]]/ValbyACO_ICC7[[#This Row],[2021 TOTAL Non-Truncated Total Expenses]]-1),"NA")</f>
        <v>NA</v>
      </c>
      <c r="AS136" s="163" t="str">
        <f>IFERROR(IF(ValbyACO_ICC7[[#This Row],[2021 Member Months]]=0,"NA",ValbyACO_ICC7[[#This Row],[2022 TOTAL Truncated Total Expenses]]/ValbyACO_ICC7[[#This Row],[2021 TOTAL Truncated Total Expenses]]-1),"NA")</f>
        <v>NA</v>
      </c>
    </row>
    <row r="137" spans="1:45" x14ac:dyDescent="0.35">
      <c r="A137" s="129"/>
      <c r="B137" s="250">
        <v>104</v>
      </c>
      <c r="C137" s="291" t="s">
        <v>191</v>
      </c>
      <c r="D137" s="120">
        <f>SUMIFS(ACOAETME2021[[#All],[Member Months]], ACOAETME2021[[#All],[Insurance Category Code]], $E$132, ACOAETME2021[[#All],[ACO/AE or Insurer Overall Organization ID]], ValbyACO_ICC7[[#This Row],[Org ID]])</f>
        <v>0</v>
      </c>
      <c r="E137" s="268" t="str">
        <f>IFERROR(IF(ValbyACO_ICC7[[#This Row],[2021 Member Months]]=0,"NA",SUMIFS(ACOAETME2021[[#All],[Claims: Hospital Inpatient]], ACOAETME2021[[#All],[Insurance Category Code]], $E$132, ACOAETME2021[[#All],[ACO/AE or Insurer Overall Organization ID]], ValbyACO_ICC7[[#This Row],[Org ID]])/ValbyACO_ICC7[[#This Row],[2021 Member Months]]), "NA")</f>
        <v>NA</v>
      </c>
      <c r="F137" s="341" t="str">
        <f>IFERROR(IF(ValbyACO_ICC7[[#This Row],[2021 Member Months]]=0,"NA",SUMIFS(ACOAETME2021[[#All],[Claims: Hospital Outpatient]], ACOAETME2021[[#All],[Insurance Category Code]], $E$132, ACOAETME2021[[#All],[ACO/AE or Insurer Overall Organization ID]], ValbyACO_ICC7[[#This Row],[Org ID]])/ValbyACO_ICC7[[#This Row],[2021 Member Months]]), "NA")</f>
        <v>NA</v>
      </c>
      <c r="G137" s="341" t="str">
        <f>IFERROR(IF(ValbyACO_ICC7[[#This Row],[2021 Member Months]]=0,"NA",SUMIFS(ACOAETME2021[[#All],[Claims: Professional, Primary Care]], ACOAETME2021[[#All],[Insurance Category Code]], $E$132, ACOAETME2021[[#All],[ACO/AE or Insurer Overall Organization ID]], ValbyACO_ICC7[[#This Row],[Org ID]])/ValbyACO_ICC7[[#This Row],[2021 Member Months]]), "NA")</f>
        <v>NA</v>
      </c>
      <c r="H137" s="341" t="str">
        <f>IFERROR(IF(ValbyACO_ICC7[[#This Row],[2021 Member Months]]=0,"NA",SUMIFS(ACOAETME2021[[#All],[Claims: Professional, Specialty Care]], ACOAETME2021[[#All],[Insurance Category Code]], $E$132, ACOAETME2021[[#All],[ACO/AE or Insurer Overall Organization ID]], ValbyACO_ICC7[[#This Row],[Org ID]])/ValbyACO_ICC7[[#This Row],[2021 Member Months]]), "NA")</f>
        <v>NA</v>
      </c>
      <c r="I137" s="341" t="str">
        <f>IFERROR(IF(ValbyACO_ICC7[[#This Row],[2021 Member Months]]=0,"NA",SUMIFS(ACOAETME2021[[#All],[Claims: Professional Other]], ACOAETME2021[[#All],[Insurance Category Code]], $E$132, ACOAETME2021[[#All],[ACO/AE or Insurer Overall Organization ID]], ValbyACO_ICC7[[#This Row],[Org ID]])/ValbyACO_ICC7[[#This Row],[2021 Member Months]]), "NA")</f>
        <v>NA</v>
      </c>
      <c r="J137" s="341" t="str">
        <f>IFERROR(IF(ValbyACO_ICC7[[#This Row],[2021 Member Months]]=0,"NA",SUMIFS(ACOAETME2021[[#All],[Claims: Pharmacy]], ACOAETME2021[[#All],[Insurance Category Code]], $E$132, ACOAETME2021[[#All],[ACO/AE or Insurer Overall Organization ID]], ValbyACO_ICC7[[#This Row],[Org ID]])/ValbyACO_ICC7[[#This Row],[2021 Member Months]]), "NA")</f>
        <v>NA</v>
      </c>
      <c r="K137" s="341" t="str">
        <f>IFERROR(IF(ValbyACO_ICC7[[#This Row],[2021 Member Months]]=0,"NA",SUMIFS(ACOAETME2021[[#All],[Claims: Long-Term Care]], ACOAETME2021[[#All],[Insurance Category Code]], $E$132, ACOAETME2021[[#All],[ACO/AE or Insurer Overall Organization ID]], ValbyACO_ICC7[[#This Row],[Org ID]])/ValbyACO_ICC7[[#This Row],[2021 Member Months]]), "NA")</f>
        <v>NA</v>
      </c>
      <c r="L137" s="341" t="str">
        <f>IFERROR(IF(ValbyACO_ICC7[[#This Row],[2021 Member Months]]=0,"NA",SUMIFS(ACOAETME2021[[#All],[Claims: Other]], ACOAETME2021[[#All],[Insurance Category Code]], $E$132, ACOAETME2021[[#All],[ACO/AE or Insurer Overall Organization ID]], ValbyACO_ICC7[[#This Row],[Org ID]])/ValbyACO_ICC7[[#This Row],[2021 Member Months]]), "NA")</f>
        <v>NA</v>
      </c>
      <c r="M137" s="130" t="str">
        <f>IF(ValbyACO_ICC7[[#This Row],[2021 Member Months]]=0,"NA",SUMIFS(ACOAETME2021[[#All],[TOTAL Non-Truncated Unadjusted Claims Expenses]], ACOAETME2021[[#All],[Insurance Category Code]], $E$132, ACOAETME2021[[#All],[ACO/AE or Insurer Overall Organization ID]], ValbyACO_ICC7[[#This Row],[Org ID]])/ValbyACO_ICC7[[#This Row],[2021 Member Months]])</f>
        <v>NA</v>
      </c>
      <c r="N137" s="130" t="str">
        <f>IF(ValbyACO_ICC7[[#This Row],[2021 Member Months]]=0,"NA",SUMIFS(ACOAETME2021[[#All],[TOTAL Truncated Unadjusted Claims Expenses (A19 - A17)]], ACOAETME2021[[#All],[Insurance Category Code]], $E$132, ACOAETME2021[[#All],[ACO/AE or Insurer Overall Organization ID]], ValbyACO_ICC7[[#This Row],[Org ID]])/ValbyACO_ICC7[[#This Row],[2021 Member Months]])</f>
        <v>NA</v>
      </c>
      <c r="O137" s="130" t="str">
        <f>IF(ValbyACO_ICC7[[#This Row],[2021 Member Months]]=0,"NA",SUMIFS(ACOAETME2021[[#All],[TOTAL Non-Claims Expenses]], ACOAETME2021[[#All],[Insurance Category Code]], $E$132, ACOAETME2021[[#All],[ACO/AE or Insurer Overall Organization ID]], ValbyACO_ICC7[[#This Row],[Org ID]])/ValbyACO_ICC7[[#This Row],[2021 Member Months]])</f>
        <v>NA</v>
      </c>
      <c r="P137" s="288" t="str">
        <f>IF(ValbyACO_ICC7[[#This Row],[2021 Member Months]]=0, "NA", SUMIFS(ACOAETME2021[[#All],[TOTAL Non-Truncated Unadjusted Expenses 
(A19+A21)]], ACOAETME2021[Insurance Category Code], $E$132, ACOAETME2021[ACO/AE or Insurer Overall Organization ID], ValbyACO_ICC7[[#This Row],[Org ID]])/ValbyACO_ICC7[[#This Row],[2021 Member Months]])</f>
        <v>NA</v>
      </c>
      <c r="Q137" s="119" t="str">
        <f>IF(ValbyACO_ICC7[[#This Row],[2021 Member Months]]=0, "NA", SUMIFS(ACOAETME2021[[#All],[TOTAL Truncated Unadjusted Expenses (A20+A21)]], ACOAETME2021[[#All],[Insurance Category Code]], $E$132, ACOAETME2021[[#All],[ACO/AE or Insurer Overall Organization ID]], ValbyACO_ICC7[[#This Row],[Org ID]])/ValbyACO_ICC7[[#This Row],[2021 Member Months]])</f>
        <v>NA</v>
      </c>
      <c r="R137" s="120">
        <f>SUMIFS(ACOAETME2022[[#All],[Member Months]],ACOAETME2022[[#All],[Insurance Category Code]], $E$132,ACOAETME2022[[#All],[ACO/AE or Insurer Overall Organization ID]],ValbyACO_ICC7[[#This Row],[Org ID]])</f>
        <v>0</v>
      </c>
      <c r="S137" s="118" t="str">
        <f>IF(ValbyACO_ICC7[[#This Row],[2022 Member Months]]=0,"NA",SUMIFS(ACOAETME2022[[#All],[Claims: Hospital Inpatient]],ACOAETME2022[[#All],[Insurance Category Code]], $E$132,ACOAETME2022[[#All],[ACO/AE or Insurer Overall Organization ID]],ValbyACO_ICC7[[#This Row],[Org ID]])/ValbyACO_ICC7[[#This Row],[2022 Member Months]])</f>
        <v>NA</v>
      </c>
      <c r="T137" s="88" t="str">
        <f>IF(ValbyACO_ICC7[[#This Row],[2022 Member Months]]=0,"NA",SUMIFS(ACOAETME2022[[#All],[Claims: Hospital Outpatient]],ACOAETME2022[[#All],[Insurance Category Code]], $E$132,ACOAETME2022[[#All],[ACO/AE or Insurer Overall Organization ID]],ValbyACO_ICC7[[#This Row],[Org ID]])/ValbyACO_ICC7[[#This Row],[2022 Member Months]])</f>
        <v>NA</v>
      </c>
      <c r="U137" s="88" t="str">
        <f>IF(ValbyACO_ICC7[[#This Row],[2022 Member Months]]=0,"NA",SUMIFS(ACOAETME2022[[#All],[Claims: Professional, Primary Care]],ACOAETME2022[[#All],[Insurance Category Code]], $E$132,ACOAETME2022[[#All],[ACO/AE or Insurer Overall Organization ID]],ValbyACO_ICC7[[#This Row],[Org ID]])/ValbyACO_ICC7[[#This Row],[2022 Member Months]])</f>
        <v>NA</v>
      </c>
      <c r="V137" s="88" t="str">
        <f>IF(ValbyACO_ICC7[[#This Row],[2022 Member Months]]=0,"NA",SUMIFS(ACOAETME2022[[#All],[Claims: Professional, Specialty Care]],ACOAETME2022[[#All],[Insurance Category Code]], $E$132,ACOAETME2022[[#All],[ACO/AE or Insurer Overall Organization ID]],ValbyACO_ICC7[[#This Row],[Org ID]])/ValbyACO_ICC7[[#This Row],[2022 Member Months]])</f>
        <v>NA</v>
      </c>
      <c r="W137" s="88" t="str">
        <f>IF(ValbyACO_ICC7[[#This Row],[2022 Member Months]]=0,"NA",SUMIFS(ACOAETME2022[[#All],[Claims: Professional Other]],ACOAETME2022[[#All],[Insurance Category Code]], $E$132,ACOAETME2022[[#All],[ACO/AE or Insurer Overall Organization ID]],ValbyACO_ICC7[[#This Row],[Org ID]])/ValbyACO_ICC7[[#This Row],[2022 Member Months]])</f>
        <v>NA</v>
      </c>
      <c r="X137" s="88" t="str">
        <f>IF(ValbyACO_ICC7[[#This Row],[2022 Member Months]]=0,"NA",SUMIFS(ACOAETME2022[[#All],[Claims: Pharmacy]],ACOAETME2022[[#All],[Insurance Category Code]], $E$132,ACOAETME2022[[#All],[ACO/AE or Insurer Overall Organization ID]],ValbyACO_ICC7[[#This Row],[Org ID]])/ValbyACO_ICC7[[#This Row],[2022 Member Months]])</f>
        <v>NA</v>
      </c>
      <c r="Y137" s="88" t="str">
        <f>IF(ValbyACO_ICC7[[#This Row],[2022 Member Months]]=0,"NA",SUMIFS(ACOAETME2022[[#All],[Claims: Long-Term Care]],ACOAETME2022[[#All],[Insurance Category Code]], $E$132,ACOAETME2022[[#All],[ACO/AE or Insurer Overall Organization ID]],ValbyACO_ICC7[[#This Row],[Org ID]])/ValbyACO_ICC7[[#This Row],[2022 Member Months]])</f>
        <v>NA</v>
      </c>
      <c r="Z137" s="88" t="str">
        <f>IF(ValbyACO_ICC7[[#This Row],[2022 Member Months]]=0,"NA",SUMIFS(ACOAETME2022[[#All],[Claims: Other]],ACOAETME2022[[#All],[Insurance Category Code]], $E$132,ACOAETME2022[[#All],[ACO/AE or Insurer Overall Organization ID]],ValbyACO_ICC7[[#This Row],[Org ID]])/ValbyACO_ICC7[[#This Row],[2022 Member Months]])</f>
        <v>NA</v>
      </c>
      <c r="AA137" s="130" t="str">
        <f>IF(ValbyACO_ICC7[[#This Row],[2022 Member Months]]=0,"NA",SUMIFS(ACOAETME2022[[#All],[TOTAL Non-Truncated Unadjusted Claims Expenses]],ACOAETME2022[[#All],[Insurance Category Code]], $E$132,ACOAETME2022[[#All],[ACO/AE or Insurer Overall Organization ID]],ValbyACO_ICC7[[#This Row],[Org ID]])/ValbyACO_ICC7[[#This Row],[2022 Member Months]])</f>
        <v>NA</v>
      </c>
      <c r="AB137" s="130" t="str">
        <f>IF(ValbyACO_ICC7[[#This Row],[2022 Member Months]]=0,"NA",SUMIFS(ACOAETME2022[[#All],[TOTAL Truncated Unadjusted Expenses (A20+A21)]],ACOAETME2022[[#All],[Insurance Category Code]], $E$132,ACOAETME2022[[#All],[ACO/AE or Insurer Overall Organization ID]],ValbyACO_ICC7[[#This Row],[Org ID]])/ValbyACO_ICC7[[#This Row],[2022 Member Months]])</f>
        <v>NA</v>
      </c>
      <c r="AC137" s="130" t="str">
        <f>IF(ValbyACO_ICC7[[#This Row],[2022 Member Months]]=0,"NA",SUMIFS(ACOAETME2022[[#All],[TOTAL Non-Claims Expenses]],ACOAETME2022[[#All],[Insurance Category Code]], $E$132,ACOAETME2022[[#All],[ACO/AE or Insurer Overall Organization ID]],ValbyACO_ICC7[[#This Row],[Org ID]])/ValbyACO_ICC7[[#This Row],[2022 Member Months]])</f>
        <v>NA</v>
      </c>
      <c r="AD137" s="288" t="str">
        <f>IF(ValbyACO_ICC7[[#This Row],[2022 Member Months]]=0,"NA",SUMIFS(ACOAETME2022[[#All],[TOTAL Non-Truncated Unadjusted Expenses 
(A19+A21)]],ACOAETME2022[[#All],[Insurance Category Code]], $E$132,ACOAETME2022[[#All],[ACO/AE or Insurer Overall Organization ID]],ValbyACO_ICC7[[#This Row],[Org ID]])/ValbyACO_ICC7[[#This Row],[2022 Member Months]])</f>
        <v>NA</v>
      </c>
      <c r="AE137" s="119" t="str">
        <f>IF(ValbyACO_ICC7[[#This Row],[2022 Member Months]]=0,"NA",SUMIFS(ACOAETME2022[[#All],[TOTAL Truncated Unadjusted Expenses (A20+A21)]],ACOAETME2022[[#All],[Insurance Category Code]],$E$132,ACOAETME2022[[#All],[ACO/AE or Insurer Overall Organization ID]],ValbyACO_ICC7[[#This Row],[Org ID]])/ValbyACO_ICC7[[#This Row],[2022 Member Months]])</f>
        <v>NA</v>
      </c>
      <c r="AF137" s="161" t="str">
        <f>IFERROR(IF(ValbyACO_ICC7[[#This Row],[2021 Member Months]]=0,"NA",ValbyACO_ICC7[[#This Row],[2022 Member Months]]/ValbyACO_ICC7[[#This Row],[2021 Member Months]]-1),"NA")</f>
        <v>NA</v>
      </c>
      <c r="AG137" s="161" t="str">
        <f>IFERROR(IF(ValbyACO_ICC7[[#This Row],[2021 Member Months]]=0,"NA",ValbyACO_ICC7[[#This Row],[2022 Claims: Hospital Inpatient]]/ValbyACO_ICC7[[#This Row],[2021 Claims: Hospital Inpatient]]-1),"NA")</f>
        <v>NA</v>
      </c>
      <c r="AH137" s="162" t="str">
        <f>IFERROR(IF(ValbyACO_ICC7[[#This Row],[2021 Member Months]]=0,"NA",ValbyACO_ICC7[[#This Row],[2022 Claims: Hospital Outpatient]]/ValbyACO_ICC7[[#This Row],[2021 Claims: Hospital Outpatient]]-1),"NA")</f>
        <v>NA</v>
      </c>
      <c r="AI137" s="162" t="str">
        <f>IFERROR(IF(ValbyACO_ICC7[[#This Row],[2021 Member Months]]=0,"NA",ValbyACO_ICC7[[#This Row],[2022 Claims: Professional, Primary Care]]/ValbyACO_ICC7[[#This Row],[2021 Claims: Professional, Primary Care]]-1),"NA")</f>
        <v>NA</v>
      </c>
      <c r="AJ137" s="162" t="str">
        <f>IFERROR(IF(ValbyACO_ICC7[[#This Row],[2021 Member Months]]=0,"NA",ValbyACO_ICC7[[#This Row],[2022 Claims: Professional, Specialty Care]]/ValbyACO_ICC7[[#This Row],[2021 Claims: Professional, Specialty Care]]-1),"NA")</f>
        <v>NA</v>
      </c>
      <c r="AK137" s="162" t="str">
        <f>IFERROR(IF(ValbyACO_ICC7[[#This Row],[2021 Member Months]]=0,"NA", ValbyACO_ICC7[[#This Row],[2022 Claims: Professional Other]]/ValbyACO_ICC7[[#This Row],[2021 Claims: Professional Other]]-1),"NA")</f>
        <v>NA</v>
      </c>
      <c r="AL137" s="162" t="str">
        <f>IFERROR(IF(ValbyACO_ICC7[[#This Row],[2021 Member Months]]=0,"NA",ValbyACO_ICC7[[#This Row],[2022 Claims: Pharmacy (Gross of Retail Pharmacy Rebates)]]/ValbyACO_ICC7[[#This Row],[2021 Claims: Pharmacy (Gross of  Rebates)]]-1),"NA")</f>
        <v>NA</v>
      </c>
      <c r="AM137" s="162" t="str">
        <f>IFERROR(IF(ValbyACO_ICC7[[#This Row],[2021 Member Months]]=0,"NA",ValbyACO_ICC7[[#This Row],[2022 Claims: Long-term Care]]/ValbyACO_ICC7[[#This Row],[2021 Claims: Long-term Care]]-1),"NA")</f>
        <v>NA</v>
      </c>
      <c r="AN137" s="162" t="str">
        <f>IFERROR(IF(ValbyACO_ICC7[[#This Row],[2021 Member Months]]=0,"NA",ValbyACO_ICC7[[#This Row],[2022 Claims: Other]]/ValbyACO_ICC7[[#This Row],[2021 Claims: Other]]-1),"NA")</f>
        <v>NA</v>
      </c>
      <c r="AO137" s="163" t="str">
        <f>IFERROR(IF(ValbyACO_ICC7[[#This Row],[2021 Member Months]]=0,"NA",ValbyACO_ICC7[[#This Row],[2022 TOTAL Non-Truncated Claims Expenses]]/ValbyACO_ICC7[[#This Row],[2021 TOTAL Non-Truncated Claims Expenses]]-1),"NA")</f>
        <v>NA</v>
      </c>
      <c r="AP137" s="163" t="str">
        <f>IFERROR(IF(ValbyACO_ICC7[[#This Row],[2021 Member Months]]=0,"NA",ValbyACO_ICC7[[#This Row],[2022 TOTAL Truncated Claims Expenses]]/ValbyACO_ICC7[[#This Row],[2021 TOTAL Truncated Claims Expenses]]-1),"NA")</f>
        <v>NA</v>
      </c>
      <c r="AQ137" s="163" t="str">
        <f>IFERROR(IF(ValbyACO_ICC7[[#This Row],[2021 Member Months]]=0,"NA",ValbyACO_ICC7[[#This Row],[2022 TOTAL Non-Claims Expenses]]/ValbyACO_ICC7[[#This Row],[2021 TOTAL Non-Claims Expenses]]-1),"NA")</f>
        <v>NA</v>
      </c>
      <c r="AR137" s="163" t="str">
        <f>IFERROR(IF(ValbyACO_ICC7[[#This Row],[2021 Member Months]]=0,"NA",ValbyACO_ICC7[[#This Row],[2022 TOTAL Non-Truncated Total Expenses]]/ValbyACO_ICC7[[#This Row],[2021 TOTAL Non-Truncated Total Expenses]]-1),"NA")</f>
        <v>NA</v>
      </c>
      <c r="AS137" s="163" t="str">
        <f>IFERROR(IF(ValbyACO_ICC7[[#This Row],[2021 Member Months]]=0,"NA",ValbyACO_ICC7[[#This Row],[2022 TOTAL Truncated Total Expenses]]/ValbyACO_ICC7[[#This Row],[2021 TOTAL Truncated Total Expenses]]-1),"NA")</f>
        <v>NA</v>
      </c>
    </row>
    <row r="138" spans="1:45" x14ac:dyDescent="0.35">
      <c r="A138" s="129"/>
      <c r="B138" s="250">
        <v>105</v>
      </c>
      <c r="C138" s="291" t="s">
        <v>169</v>
      </c>
      <c r="D138" s="120">
        <f>SUMIFS(ACOAETME2021[[#All],[Member Months]], ACOAETME2021[[#All],[Insurance Category Code]], $E$132, ACOAETME2021[[#All],[ACO/AE or Insurer Overall Organization ID]], ValbyACO_ICC7[[#This Row],[Org ID]])</f>
        <v>0</v>
      </c>
      <c r="E138" s="268" t="str">
        <f>IFERROR(IF(ValbyACO_ICC7[[#This Row],[2021 Member Months]]=0,"NA",SUMIFS(ACOAETME2021[[#All],[Claims: Hospital Inpatient]], ACOAETME2021[[#All],[Insurance Category Code]], $E$132, ACOAETME2021[[#All],[ACO/AE or Insurer Overall Organization ID]], ValbyACO_ICC7[[#This Row],[Org ID]])/ValbyACO_ICC7[[#This Row],[2021 Member Months]]), "NA")</f>
        <v>NA</v>
      </c>
      <c r="F138" s="341" t="str">
        <f>IFERROR(IF(ValbyACO_ICC7[[#This Row],[2021 Member Months]]=0,"NA",SUMIFS(ACOAETME2021[[#All],[Claims: Hospital Outpatient]], ACOAETME2021[[#All],[Insurance Category Code]], $E$132, ACOAETME2021[[#All],[ACO/AE or Insurer Overall Organization ID]], ValbyACO_ICC7[[#This Row],[Org ID]])/ValbyACO_ICC7[[#This Row],[2021 Member Months]]), "NA")</f>
        <v>NA</v>
      </c>
      <c r="G138" s="341" t="str">
        <f>IFERROR(IF(ValbyACO_ICC7[[#This Row],[2021 Member Months]]=0,"NA",SUMIFS(ACOAETME2021[[#All],[Claims: Professional, Primary Care]], ACOAETME2021[[#All],[Insurance Category Code]], $E$132, ACOAETME2021[[#All],[ACO/AE or Insurer Overall Organization ID]], ValbyACO_ICC7[[#This Row],[Org ID]])/ValbyACO_ICC7[[#This Row],[2021 Member Months]]), "NA")</f>
        <v>NA</v>
      </c>
      <c r="H138" s="341" t="str">
        <f>IFERROR(IF(ValbyACO_ICC7[[#This Row],[2021 Member Months]]=0,"NA",SUMIFS(ACOAETME2021[[#All],[Claims: Professional, Specialty Care]], ACOAETME2021[[#All],[Insurance Category Code]], $E$132, ACOAETME2021[[#All],[ACO/AE or Insurer Overall Organization ID]], ValbyACO_ICC7[[#This Row],[Org ID]])/ValbyACO_ICC7[[#This Row],[2021 Member Months]]), "NA")</f>
        <v>NA</v>
      </c>
      <c r="I138" s="341" t="str">
        <f>IFERROR(IF(ValbyACO_ICC7[[#This Row],[2021 Member Months]]=0,"NA",SUMIFS(ACOAETME2021[[#All],[Claims: Professional Other]], ACOAETME2021[[#All],[Insurance Category Code]], $E$132, ACOAETME2021[[#All],[ACO/AE or Insurer Overall Organization ID]], ValbyACO_ICC7[[#This Row],[Org ID]])/ValbyACO_ICC7[[#This Row],[2021 Member Months]]), "NA")</f>
        <v>NA</v>
      </c>
      <c r="J138" s="341" t="str">
        <f>IFERROR(IF(ValbyACO_ICC7[[#This Row],[2021 Member Months]]=0,"NA",SUMIFS(ACOAETME2021[[#All],[Claims: Pharmacy]], ACOAETME2021[[#All],[Insurance Category Code]], $E$132, ACOAETME2021[[#All],[ACO/AE or Insurer Overall Organization ID]], ValbyACO_ICC7[[#This Row],[Org ID]])/ValbyACO_ICC7[[#This Row],[2021 Member Months]]), "NA")</f>
        <v>NA</v>
      </c>
      <c r="K138" s="341" t="str">
        <f>IFERROR(IF(ValbyACO_ICC7[[#This Row],[2021 Member Months]]=0,"NA",SUMIFS(ACOAETME2021[[#All],[Claims: Long-Term Care]], ACOAETME2021[[#All],[Insurance Category Code]], $E$132, ACOAETME2021[[#All],[ACO/AE or Insurer Overall Organization ID]], ValbyACO_ICC7[[#This Row],[Org ID]])/ValbyACO_ICC7[[#This Row],[2021 Member Months]]), "NA")</f>
        <v>NA</v>
      </c>
      <c r="L138" s="341" t="str">
        <f>IFERROR(IF(ValbyACO_ICC7[[#This Row],[2021 Member Months]]=0,"NA",SUMIFS(ACOAETME2021[[#All],[Claims: Other]], ACOAETME2021[[#All],[Insurance Category Code]], $E$132, ACOAETME2021[[#All],[ACO/AE or Insurer Overall Organization ID]], ValbyACO_ICC7[[#This Row],[Org ID]])/ValbyACO_ICC7[[#This Row],[2021 Member Months]]), "NA")</f>
        <v>NA</v>
      </c>
      <c r="M138" s="130" t="str">
        <f>IF(ValbyACO_ICC7[[#This Row],[2021 Member Months]]=0,"NA",SUMIFS(ACOAETME2021[[#All],[TOTAL Non-Truncated Unadjusted Claims Expenses]], ACOAETME2021[[#All],[Insurance Category Code]], $E$132, ACOAETME2021[[#All],[ACO/AE or Insurer Overall Organization ID]], ValbyACO_ICC7[[#This Row],[Org ID]])/ValbyACO_ICC7[[#This Row],[2021 Member Months]])</f>
        <v>NA</v>
      </c>
      <c r="N138" s="130" t="str">
        <f>IF(ValbyACO_ICC7[[#This Row],[2021 Member Months]]=0,"NA",SUMIFS(ACOAETME2021[[#All],[TOTAL Truncated Unadjusted Claims Expenses (A19 - A17)]], ACOAETME2021[[#All],[Insurance Category Code]], $E$132, ACOAETME2021[[#All],[ACO/AE or Insurer Overall Organization ID]], ValbyACO_ICC7[[#This Row],[Org ID]])/ValbyACO_ICC7[[#This Row],[2021 Member Months]])</f>
        <v>NA</v>
      </c>
      <c r="O138" s="130" t="str">
        <f>IF(ValbyACO_ICC7[[#This Row],[2021 Member Months]]=0,"NA",SUMIFS(ACOAETME2021[[#All],[TOTAL Non-Claims Expenses]], ACOAETME2021[[#All],[Insurance Category Code]], $E$132, ACOAETME2021[[#All],[ACO/AE or Insurer Overall Organization ID]], ValbyACO_ICC7[[#This Row],[Org ID]])/ValbyACO_ICC7[[#This Row],[2021 Member Months]])</f>
        <v>NA</v>
      </c>
      <c r="P138" s="288" t="str">
        <f>IF(ValbyACO_ICC7[[#This Row],[2021 Member Months]]=0, "NA", SUMIFS(ACOAETME2021[[#All],[TOTAL Non-Truncated Unadjusted Expenses 
(A19+A21)]], ACOAETME2021[Insurance Category Code], $E$132, ACOAETME2021[ACO/AE or Insurer Overall Organization ID], ValbyACO_ICC7[[#This Row],[Org ID]])/ValbyACO_ICC7[[#This Row],[2021 Member Months]])</f>
        <v>NA</v>
      </c>
      <c r="Q138" s="119" t="str">
        <f>IF(ValbyACO_ICC7[[#This Row],[2021 Member Months]]=0, "NA", SUMIFS(ACOAETME2021[[#All],[TOTAL Truncated Unadjusted Expenses (A20+A21)]], ACOAETME2021[[#All],[Insurance Category Code]], $E$132, ACOAETME2021[[#All],[ACO/AE or Insurer Overall Organization ID]], ValbyACO_ICC7[[#This Row],[Org ID]])/ValbyACO_ICC7[[#This Row],[2021 Member Months]])</f>
        <v>NA</v>
      </c>
      <c r="R138" s="120">
        <f>SUMIFS(ACOAETME2022[[#All],[Member Months]],ACOAETME2022[[#All],[Insurance Category Code]], $E$132,ACOAETME2022[[#All],[ACO/AE or Insurer Overall Organization ID]],ValbyACO_ICC7[[#This Row],[Org ID]])</f>
        <v>0</v>
      </c>
      <c r="S138" s="118" t="str">
        <f>IF(ValbyACO_ICC7[[#This Row],[2022 Member Months]]=0,"NA",SUMIFS(ACOAETME2022[[#All],[Claims: Hospital Inpatient]],ACOAETME2022[[#All],[Insurance Category Code]], $E$132,ACOAETME2022[[#All],[ACO/AE or Insurer Overall Organization ID]],ValbyACO_ICC7[[#This Row],[Org ID]])/ValbyACO_ICC7[[#This Row],[2022 Member Months]])</f>
        <v>NA</v>
      </c>
      <c r="T138" s="88" t="str">
        <f>IF(ValbyACO_ICC7[[#This Row],[2022 Member Months]]=0,"NA",SUMIFS(ACOAETME2022[[#All],[Claims: Hospital Outpatient]],ACOAETME2022[[#All],[Insurance Category Code]], $E$132,ACOAETME2022[[#All],[ACO/AE or Insurer Overall Organization ID]],ValbyACO_ICC7[[#This Row],[Org ID]])/ValbyACO_ICC7[[#This Row],[2022 Member Months]])</f>
        <v>NA</v>
      </c>
      <c r="U138" s="88" t="str">
        <f>IF(ValbyACO_ICC7[[#This Row],[2022 Member Months]]=0,"NA",SUMIFS(ACOAETME2022[[#All],[Claims: Professional, Primary Care]],ACOAETME2022[[#All],[Insurance Category Code]], $E$132,ACOAETME2022[[#All],[ACO/AE or Insurer Overall Organization ID]],ValbyACO_ICC7[[#This Row],[Org ID]])/ValbyACO_ICC7[[#This Row],[2022 Member Months]])</f>
        <v>NA</v>
      </c>
      <c r="V138" s="88" t="str">
        <f>IF(ValbyACO_ICC7[[#This Row],[2022 Member Months]]=0,"NA",SUMIFS(ACOAETME2022[[#All],[Claims: Professional, Specialty Care]],ACOAETME2022[[#All],[Insurance Category Code]], $E$132,ACOAETME2022[[#All],[ACO/AE or Insurer Overall Organization ID]],ValbyACO_ICC7[[#This Row],[Org ID]])/ValbyACO_ICC7[[#This Row],[2022 Member Months]])</f>
        <v>NA</v>
      </c>
      <c r="W138" s="88" t="str">
        <f>IF(ValbyACO_ICC7[[#This Row],[2022 Member Months]]=0,"NA",SUMIFS(ACOAETME2022[[#All],[Claims: Professional Other]],ACOAETME2022[[#All],[Insurance Category Code]], $E$132,ACOAETME2022[[#All],[ACO/AE or Insurer Overall Organization ID]],ValbyACO_ICC7[[#This Row],[Org ID]])/ValbyACO_ICC7[[#This Row],[2022 Member Months]])</f>
        <v>NA</v>
      </c>
      <c r="X138" s="88" t="str">
        <f>IF(ValbyACO_ICC7[[#This Row],[2022 Member Months]]=0,"NA",SUMIFS(ACOAETME2022[[#All],[Claims: Pharmacy]],ACOAETME2022[[#All],[Insurance Category Code]], $E$132,ACOAETME2022[[#All],[ACO/AE or Insurer Overall Organization ID]],ValbyACO_ICC7[[#This Row],[Org ID]])/ValbyACO_ICC7[[#This Row],[2022 Member Months]])</f>
        <v>NA</v>
      </c>
      <c r="Y138" s="88" t="str">
        <f>IF(ValbyACO_ICC7[[#This Row],[2022 Member Months]]=0,"NA",SUMIFS(ACOAETME2022[[#All],[Claims: Long-Term Care]],ACOAETME2022[[#All],[Insurance Category Code]], $E$132,ACOAETME2022[[#All],[ACO/AE or Insurer Overall Organization ID]],ValbyACO_ICC7[[#This Row],[Org ID]])/ValbyACO_ICC7[[#This Row],[2022 Member Months]])</f>
        <v>NA</v>
      </c>
      <c r="Z138" s="88" t="str">
        <f>IF(ValbyACO_ICC7[[#This Row],[2022 Member Months]]=0,"NA",SUMIFS(ACOAETME2022[[#All],[Claims: Other]],ACOAETME2022[[#All],[Insurance Category Code]], $E$132,ACOAETME2022[[#All],[ACO/AE or Insurer Overall Organization ID]],ValbyACO_ICC7[[#This Row],[Org ID]])/ValbyACO_ICC7[[#This Row],[2022 Member Months]])</f>
        <v>NA</v>
      </c>
      <c r="AA138" s="130" t="str">
        <f>IF(ValbyACO_ICC7[[#This Row],[2022 Member Months]]=0,"NA",SUMIFS(ACOAETME2022[[#All],[TOTAL Non-Truncated Unadjusted Claims Expenses]],ACOAETME2022[[#All],[Insurance Category Code]], $E$132,ACOAETME2022[[#All],[ACO/AE or Insurer Overall Organization ID]],ValbyACO_ICC7[[#This Row],[Org ID]])/ValbyACO_ICC7[[#This Row],[2022 Member Months]])</f>
        <v>NA</v>
      </c>
      <c r="AB138" s="130" t="str">
        <f>IF(ValbyACO_ICC7[[#This Row],[2022 Member Months]]=0,"NA",SUMIFS(ACOAETME2022[[#All],[TOTAL Truncated Unadjusted Expenses (A20+A21)]],ACOAETME2022[[#All],[Insurance Category Code]], $E$132,ACOAETME2022[[#All],[ACO/AE or Insurer Overall Organization ID]],ValbyACO_ICC7[[#This Row],[Org ID]])/ValbyACO_ICC7[[#This Row],[2022 Member Months]])</f>
        <v>NA</v>
      </c>
      <c r="AC138" s="130" t="str">
        <f>IF(ValbyACO_ICC7[[#This Row],[2022 Member Months]]=0,"NA",SUMIFS(ACOAETME2022[[#All],[TOTAL Non-Claims Expenses]],ACOAETME2022[[#All],[Insurance Category Code]], $E$132,ACOAETME2022[[#All],[ACO/AE or Insurer Overall Organization ID]],ValbyACO_ICC7[[#This Row],[Org ID]])/ValbyACO_ICC7[[#This Row],[2022 Member Months]])</f>
        <v>NA</v>
      </c>
      <c r="AD138" s="288" t="str">
        <f>IF(ValbyACO_ICC7[[#This Row],[2022 Member Months]]=0,"NA",SUMIFS(ACOAETME2022[[#All],[TOTAL Non-Truncated Unadjusted Expenses 
(A19+A21)]],ACOAETME2022[[#All],[Insurance Category Code]], $E$132,ACOAETME2022[[#All],[ACO/AE or Insurer Overall Organization ID]],ValbyACO_ICC7[[#This Row],[Org ID]])/ValbyACO_ICC7[[#This Row],[2022 Member Months]])</f>
        <v>NA</v>
      </c>
      <c r="AE138" s="119" t="str">
        <f>IF(ValbyACO_ICC7[[#This Row],[2022 Member Months]]=0,"NA",SUMIFS(ACOAETME2022[[#All],[TOTAL Truncated Unadjusted Expenses (A20+A21)]],ACOAETME2022[[#All],[Insurance Category Code]],$E$132,ACOAETME2022[[#All],[ACO/AE or Insurer Overall Organization ID]],ValbyACO_ICC7[[#This Row],[Org ID]])/ValbyACO_ICC7[[#This Row],[2022 Member Months]])</f>
        <v>NA</v>
      </c>
      <c r="AF138" s="161" t="str">
        <f>IFERROR(IF(ValbyACO_ICC7[[#This Row],[2021 Member Months]]=0,"NA",ValbyACO_ICC7[[#This Row],[2022 Member Months]]/ValbyACO_ICC7[[#This Row],[2021 Member Months]]-1),"NA")</f>
        <v>NA</v>
      </c>
      <c r="AG138" s="161" t="str">
        <f>IFERROR(IF(ValbyACO_ICC7[[#This Row],[2021 Member Months]]=0,"NA",ValbyACO_ICC7[[#This Row],[2022 Claims: Hospital Inpatient]]/ValbyACO_ICC7[[#This Row],[2021 Claims: Hospital Inpatient]]-1),"NA")</f>
        <v>NA</v>
      </c>
      <c r="AH138" s="162" t="str">
        <f>IFERROR(IF(ValbyACO_ICC7[[#This Row],[2021 Member Months]]=0,"NA",ValbyACO_ICC7[[#This Row],[2022 Claims: Hospital Outpatient]]/ValbyACO_ICC7[[#This Row],[2021 Claims: Hospital Outpatient]]-1),"NA")</f>
        <v>NA</v>
      </c>
      <c r="AI138" s="162" t="str">
        <f>IFERROR(IF(ValbyACO_ICC7[[#This Row],[2021 Member Months]]=0,"NA",ValbyACO_ICC7[[#This Row],[2022 Claims: Professional, Primary Care]]/ValbyACO_ICC7[[#This Row],[2021 Claims: Professional, Primary Care]]-1),"NA")</f>
        <v>NA</v>
      </c>
      <c r="AJ138" s="162" t="str">
        <f>IFERROR(IF(ValbyACO_ICC7[[#This Row],[2021 Member Months]]=0,"NA",ValbyACO_ICC7[[#This Row],[2022 Claims: Professional, Specialty Care]]/ValbyACO_ICC7[[#This Row],[2021 Claims: Professional, Specialty Care]]-1),"NA")</f>
        <v>NA</v>
      </c>
      <c r="AK138" s="162" t="str">
        <f>IFERROR(IF(ValbyACO_ICC7[[#This Row],[2021 Member Months]]=0,"NA", ValbyACO_ICC7[[#This Row],[2022 Claims: Professional Other]]/ValbyACO_ICC7[[#This Row],[2021 Claims: Professional Other]]-1),"NA")</f>
        <v>NA</v>
      </c>
      <c r="AL138" s="162" t="str">
        <f>IFERROR(IF(ValbyACO_ICC7[[#This Row],[2021 Member Months]]=0,"NA",ValbyACO_ICC7[[#This Row],[2022 Claims: Pharmacy (Gross of Retail Pharmacy Rebates)]]/ValbyACO_ICC7[[#This Row],[2021 Claims: Pharmacy (Gross of  Rebates)]]-1),"NA")</f>
        <v>NA</v>
      </c>
      <c r="AM138" s="162" t="str">
        <f>IFERROR(IF(ValbyACO_ICC7[[#This Row],[2021 Member Months]]=0,"NA",ValbyACO_ICC7[[#This Row],[2022 Claims: Long-term Care]]/ValbyACO_ICC7[[#This Row],[2021 Claims: Long-term Care]]-1),"NA")</f>
        <v>NA</v>
      </c>
      <c r="AN138" s="162" t="str">
        <f>IFERROR(IF(ValbyACO_ICC7[[#This Row],[2021 Member Months]]=0,"NA",ValbyACO_ICC7[[#This Row],[2022 Claims: Other]]/ValbyACO_ICC7[[#This Row],[2021 Claims: Other]]-1),"NA")</f>
        <v>NA</v>
      </c>
      <c r="AO138" s="163" t="str">
        <f>IFERROR(IF(ValbyACO_ICC7[[#This Row],[2021 Member Months]]=0,"NA",ValbyACO_ICC7[[#This Row],[2022 TOTAL Non-Truncated Claims Expenses]]/ValbyACO_ICC7[[#This Row],[2021 TOTAL Non-Truncated Claims Expenses]]-1),"NA")</f>
        <v>NA</v>
      </c>
      <c r="AP138" s="163" t="str">
        <f>IFERROR(IF(ValbyACO_ICC7[[#This Row],[2021 Member Months]]=0,"NA",ValbyACO_ICC7[[#This Row],[2022 TOTAL Truncated Claims Expenses]]/ValbyACO_ICC7[[#This Row],[2021 TOTAL Truncated Claims Expenses]]-1),"NA")</f>
        <v>NA</v>
      </c>
      <c r="AQ138" s="163" t="str">
        <f>IFERROR(IF(ValbyACO_ICC7[[#This Row],[2021 Member Months]]=0,"NA",ValbyACO_ICC7[[#This Row],[2022 TOTAL Non-Claims Expenses]]/ValbyACO_ICC7[[#This Row],[2021 TOTAL Non-Claims Expenses]]-1),"NA")</f>
        <v>NA</v>
      </c>
      <c r="AR138" s="163" t="str">
        <f>IFERROR(IF(ValbyACO_ICC7[[#This Row],[2021 Member Months]]=0,"NA",ValbyACO_ICC7[[#This Row],[2022 TOTAL Non-Truncated Total Expenses]]/ValbyACO_ICC7[[#This Row],[2021 TOTAL Non-Truncated Total Expenses]]-1),"NA")</f>
        <v>NA</v>
      </c>
      <c r="AS138" s="163" t="str">
        <f>IFERROR(IF(ValbyACO_ICC7[[#This Row],[2021 Member Months]]=0,"NA",ValbyACO_ICC7[[#This Row],[2022 TOTAL Truncated Total Expenses]]/ValbyACO_ICC7[[#This Row],[2021 TOTAL Truncated Total Expenses]]-1),"NA")</f>
        <v>NA</v>
      </c>
    </row>
    <row r="139" spans="1:45" x14ac:dyDescent="0.35">
      <c r="A139" s="129"/>
      <c r="B139" s="250">
        <v>106</v>
      </c>
      <c r="C139" s="291" t="s">
        <v>170</v>
      </c>
      <c r="D139" s="120">
        <f>SUMIFS(ACOAETME2021[[#All],[Member Months]], ACOAETME2021[[#All],[Insurance Category Code]], $E$132, ACOAETME2021[[#All],[ACO/AE or Insurer Overall Organization ID]], ValbyACO_ICC7[[#This Row],[Org ID]])</f>
        <v>0</v>
      </c>
      <c r="E139" s="268" t="str">
        <f>IFERROR(IF(ValbyACO_ICC7[[#This Row],[2021 Member Months]]=0,"NA",SUMIFS(ACOAETME2021[[#All],[Claims: Hospital Inpatient]], ACOAETME2021[[#All],[Insurance Category Code]], $E$132, ACOAETME2021[[#All],[ACO/AE or Insurer Overall Organization ID]], ValbyACO_ICC7[[#This Row],[Org ID]])/ValbyACO_ICC7[[#This Row],[2021 Member Months]]), "NA")</f>
        <v>NA</v>
      </c>
      <c r="F139" s="341" t="str">
        <f>IFERROR(IF(ValbyACO_ICC7[[#This Row],[2021 Member Months]]=0,"NA",SUMIFS(ACOAETME2021[[#All],[Claims: Hospital Outpatient]], ACOAETME2021[[#All],[Insurance Category Code]], $E$132, ACOAETME2021[[#All],[ACO/AE or Insurer Overall Organization ID]], ValbyACO_ICC7[[#This Row],[Org ID]])/ValbyACO_ICC7[[#This Row],[2021 Member Months]]), "NA")</f>
        <v>NA</v>
      </c>
      <c r="G139" s="341" t="str">
        <f>IFERROR(IF(ValbyACO_ICC7[[#This Row],[2021 Member Months]]=0,"NA",SUMIFS(ACOAETME2021[[#All],[Claims: Professional, Primary Care]], ACOAETME2021[[#All],[Insurance Category Code]], $E$132, ACOAETME2021[[#All],[ACO/AE or Insurer Overall Organization ID]], ValbyACO_ICC7[[#This Row],[Org ID]])/ValbyACO_ICC7[[#This Row],[2021 Member Months]]), "NA")</f>
        <v>NA</v>
      </c>
      <c r="H139" s="341" t="str">
        <f>IFERROR(IF(ValbyACO_ICC7[[#This Row],[2021 Member Months]]=0,"NA",SUMIFS(ACOAETME2021[[#All],[Claims: Professional, Specialty Care]], ACOAETME2021[[#All],[Insurance Category Code]], $E$132, ACOAETME2021[[#All],[ACO/AE or Insurer Overall Organization ID]], ValbyACO_ICC7[[#This Row],[Org ID]])/ValbyACO_ICC7[[#This Row],[2021 Member Months]]), "NA")</f>
        <v>NA</v>
      </c>
      <c r="I139" s="341" t="str">
        <f>IFERROR(IF(ValbyACO_ICC7[[#This Row],[2021 Member Months]]=0,"NA",SUMIFS(ACOAETME2021[[#All],[Claims: Professional Other]], ACOAETME2021[[#All],[Insurance Category Code]], $E$132, ACOAETME2021[[#All],[ACO/AE or Insurer Overall Organization ID]], ValbyACO_ICC7[[#This Row],[Org ID]])/ValbyACO_ICC7[[#This Row],[2021 Member Months]]), "NA")</f>
        <v>NA</v>
      </c>
      <c r="J139" s="341" t="str">
        <f>IFERROR(IF(ValbyACO_ICC7[[#This Row],[2021 Member Months]]=0,"NA",SUMIFS(ACOAETME2021[[#All],[Claims: Pharmacy]], ACOAETME2021[[#All],[Insurance Category Code]], $E$132, ACOAETME2021[[#All],[ACO/AE or Insurer Overall Organization ID]], ValbyACO_ICC7[[#This Row],[Org ID]])/ValbyACO_ICC7[[#This Row],[2021 Member Months]]), "NA")</f>
        <v>NA</v>
      </c>
      <c r="K139" s="341" t="str">
        <f>IFERROR(IF(ValbyACO_ICC7[[#This Row],[2021 Member Months]]=0,"NA",SUMIFS(ACOAETME2021[[#All],[Claims: Long-Term Care]], ACOAETME2021[[#All],[Insurance Category Code]], $E$132, ACOAETME2021[[#All],[ACO/AE or Insurer Overall Organization ID]], ValbyACO_ICC7[[#This Row],[Org ID]])/ValbyACO_ICC7[[#This Row],[2021 Member Months]]), "NA")</f>
        <v>NA</v>
      </c>
      <c r="L139" s="341" t="str">
        <f>IFERROR(IF(ValbyACO_ICC7[[#This Row],[2021 Member Months]]=0,"NA",SUMIFS(ACOAETME2021[[#All],[Claims: Other]], ACOAETME2021[[#All],[Insurance Category Code]], $E$132, ACOAETME2021[[#All],[ACO/AE or Insurer Overall Organization ID]], ValbyACO_ICC7[[#This Row],[Org ID]])/ValbyACO_ICC7[[#This Row],[2021 Member Months]]), "NA")</f>
        <v>NA</v>
      </c>
      <c r="M139" s="130" t="str">
        <f>IF(ValbyACO_ICC7[[#This Row],[2021 Member Months]]=0,"NA",SUMIFS(ACOAETME2021[[#All],[TOTAL Non-Truncated Unadjusted Claims Expenses]], ACOAETME2021[[#All],[Insurance Category Code]], $E$132, ACOAETME2021[[#All],[ACO/AE or Insurer Overall Organization ID]], ValbyACO_ICC7[[#This Row],[Org ID]])/ValbyACO_ICC7[[#This Row],[2021 Member Months]])</f>
        <v>NA</v>
      </c>
      <c r="N139" s="130" t="str">
        <f>IF(ValbyACO_ICC7[[#This Row],[2021 Member Months]]=0,"NA",SUMIFS(ACOAETME2021[[#All],[TOTAL Truncated Unadjusted Claims Expenses (A19 - A17)]], ACOAETME2021[[#All],[Insurance Category Code]], $E$132, ACOAETME2021[[#All],[ACO/AE or Insurer Overall Organization ID]], ValbyACO_ICC7[[#This Row],[Org ID]])/ValbyACO_ICC7[[#This Row],[2021 Member Months]])</f>
        <v>NA</v>
      </c>
      <c r="O139" s="130" t="str">
        <f>IF(ValbyACO_ICC7[[#This Row],[2021 Member Months]]=0,"NA",SUMIFS(ACOAETME2021[[#All],[TOTAL Non-Claims Expenses]], ACOAETME2021[[#All],[Insurance Category Code]], $E$132, ACOAETME2021[[#All],[ACO/AE or Insurer Overall Organization ID]], ValbyACO_ICC7[[#This Row],[Org ID]])/ValbyACO_ICC7[[#This Row],[2021 Member Months]])</f>
        <v>NA</v>
      </c>
      <c r="P139" s="288" t="str">
        <f>IF(ValbyACO_ICC7[[#This Row],[2021 Member Months]]=0, "NA", SUMIFS(ACOAETME2021[[#All],[TOTAL Non-Truncated Unadjusted Expenses 
(A19+A21)]], ACOAETME2021[Insurance Category Code], $E$132, ACOAETME2021[ACO/AE or Insurer Overall Organization ID], ValbyACO_ICC7[[#This Row],[Org ID]])/ValbyACO_ICC7[[#This Row],[2021 Member Months]])</f>
        <v>NA</v>
      </c>
      <c r="Q139" s="119" t="str">
        <f>IF(ValbyACO_ICC7[[#This Row],[2021 Member Months]]=0, "NA", SUMIFS(ACOAETME2021[[#All],[TOTAL Truncated Unadjusted Expenses (A20+A21)]], ACOAETME2021[[#All],[Insurance Category Code]], $E$132, ACOAETME2021[[#All],[ACO/AE or Insurer Overall Organization ID]], ValbyACO_ICC7[[#This Row],[Org ID]])/ValbyACO_ICC7[[#This Row],[2021 Member Months]])</f>
        <v>NA</v>
      </c>
      <c r="R139" s="120">
        <f>SUMIFS(ACOAETME2022[[#All],[Member Months]],ACOAETME2022[[#All],[Insurance Category Code]], $E$132,ACOAETME2022[[#All],[ACO/AE or Insurer Overall Organization ID]],ValbyACO_ICC7[[#This Row],[Org ID]])</f>
        <v>0</v>
      </c>
      <c r="S139" s="118" t="str">
        <f>IF(ValbyACO_ICC7[[#This Row],[2022 Member Months]]=0,"NA",SUMIFS(ACOAETME2022[[#All],[Claims: Hospital Inpatient]],ACOAETME2022[[#All],[Insurance Category Code]], $E$132,ACOAETME2022[[#All],[ACO/AE or Insurer Overall Organization ID]],ValbyACO_ICC7[[#This Row],[Org ID]])/ValbyACO_ICC7[[#This Row],[2022 Member Months]])</f>
        <v>NA</v>
      </c>
      <c r="T139" s="88" t="str">
        <f>IF(ValbyACO_ICC7[[#This Row],[2022 Member Months]]=0,"NA",SUMIFS(ACOAETME2022[[#All],[Claims: Hospital Outpatient]],ACOAETME2022[[#All],[Insurance Category Code]], $E$132,ACOAETME2022[[#All],[ACO/AE or Insurer Overall Organization ID]],ValbyACO_ICC7[[#This Row],[Org ID]])/ValbyACO_ICC7[[#This Row],[2022 Member Months]])</f>
        <v>NA</v>
      </c>
      <c r="U139" s="88" t="str">
        <f>IF(ValbyACO_ICC7[[#This Row],[2022 Member Months]]=0,"NA",SUMIFS(ACOAETME2022[[#All],[Claims: Professional, Primary Care]],ACOAETME2022[[#All],[Insurance Category Code]], $E$132,ACOAETME2022[[#All],[ACO/AE or Insurer Overall Organization ID]],ValbyACO_ICC7[[#This Row],[Org ID]])/ValbyACO_ICC7[[#This Row],[2022 Member Months]])</f>
        <v>NA</v>
      </c>
      <c r="V139" s="88" t="str">
        <f>IF(ValbyACO_ICC7[[#This Row],[2022 Member Months]]=0,"NA",SUMIFS(ACOAETME2022[[#All],[Claims: Professional, Specialty Care]],ACOAETME2022[[#All],[Insurance Category Code]], $E$132,ACOAETME2022[[#All],[ACO/AE or Insurer Overall Organization ID]],ValbyACO_ICC7[[#This Row],[Org ID]])/ValbyACO_ICC7[[#This Row],[2022 Member Months]])</f>
        <v>NA</v>
      </c>
      <c r="W139" s="88" t="str">
        <f>IF(ValbyACO_ICC7[[#This Row],[2022 Member Months]]=0,"NA",SUMIFS(ACOAETME2022[[#All],[Claims: Professional Other]],ACOAETME2022[[#All],[Insurance Category Code]], $E$132,ACOAETME2022[[#All],[ACO/AE or Insurer Overall Organization ID]],ValbyACO_ICC7[[#This Row],[Org ID]])/ValbyACO_ICC7[[#This Row],[2022 Member Months]])</f>
        <v>NA</v>
      </c>
      <c r="X139" s="88" t="str">
        <f>IF(ValbyACO_ICC7[[#This Row],[2022 Member Months]]=0,"NA",SUMIFS(ACOAETME2022[[#All],[Claims: Pharmacy]],ACOAETME2022[[#All],[Insurance Category Code]], $E$132,ACOAETME2022[[#All],[ACO/AE or Insurer Overall Organization ID]],ValbyACO_ICC7[[#This Row],[Org ID]])/ValbyACO_ICC7[[#This Row],[2022 Member Months]])</f>
        <v>NA</v>
      </c>
      <c r="Y139" s="88" t="str">
        <f>IF(ValbyACO_ICC7[[#This Row],[2022 Member Months]]=0,"NA",SUMIFS(ACOAETME2022[[#All],[Claims: Long-Term Care]],ACOAETME2022[[#All],[Insurance Category Code]], $E$132,ACOAETME2022[[#All],[ACO/AE or Insurer Overall Organization ID]],ValbyACO_ICC7[[#This Row],[Org ID]])/ValbyACO_ICC7[[#This Row],[2022 Member Months]])</f>
        <v>NA</v>
      </c>
      <c r="Z139" s="88" t="str">
        <f>IF(ValbyACO_ICC7[[#This Row],[2022 Member Months]]=0,"NA",SUMIFS(ACOAETME2022[[#All],[Claims: Other]],ACOAETME2022[[#All],[Insurance Category Code]], $E$132,ACOAETME2022[[#All],[ACO/AE or Insurer Overall Organization ID]],ValbyACO_ICC7[[#This Row],[Org ID]])/ValbyACO_ICC7[[#This Row],[2022 Member Months]])</f>
        <v>NA</v>
      </c>
      <c r="AA139" s="130" t="str">
        <f>IF(ValbyACO_ICC7[[#This Row],[2022 Member Months]]=0,"NA",SUMIFS(ACOAETME2022[[#All],[TOTAL Non-Truncated Unadjusted Claims Expenses]],ACOAETME2022[[#All],[Insurance Category Code]], $E$132,ACOAETME2022[[#All],[ACO/AE or Insurer Overall Organization ID]],ValbyACO_ICC7[[#This Row],[Org ID]])/ValbyACO_ICC7[[#This Row],[2022 Member Months]])</f>
        <v>NA</v>
      </c>
      <c r="AB139" s="130" t="str">
        <f>IF(ValbyACO_ICC7[[#This Row],[2022 Member Months]]=0,"NA",SUMIFS(ACOAETME2022[[#All],[TOTAL Truncated Unadjusted Expenses (A20+A21)]],ACOAETME2022[[#All],[Insurance Category Code]], $E$132,ACOAETME2022[[#All],[ACO/AE or Insurer Overall Organization ID]],ValbyACO_ICC7[[#This Row],[Org ID]])/ValbyACO_ICC7[[#This Row],[2022 Member Months]])</f>
        <v>NA</v>
      </c>
      <c r="AC139" s="130" t="str">
        <f>IF(ValbyACO_ICC7[[#This Row],[2022 Member Months]]=0,"NA",SUMIFS(ACOAETME2022[[#All],[TOTAL Non-Claims Expenses]],ACOAETME2022[[#All],[Insurance Category Code]], $E$132,ACOAETME2022[[#All],[ACO/AE or Insurer Overall Organization ID]],ValbyACO_ICC7[[#This Row],[Org ID]])/ValbyACO_ICC7[[#This Row],[2022 Member Months]])</f>
        <v>NA</v>
      </c>
      <c r="AD139" s="288" t="str">
        <f>IF(ValbyACO_ICC7[[#This Row],[2022 Member Months]]=0,"NA",SUMIFS(ACOAETME2022[[#All],[TOTAL Non-Truncated Unadjusted Expenses 
(A19+A21)]],ACOAETME2022[[#All],[Insurance Category Code]], $E$132,ACOAETME2022[[#All],[ACO/AE or Insurer Overall Organization ID]],ValbyACO_ICC7[[#This Row],[Org ID]])/ValbyACO_ICC7[[#This Row],[2022 Member Months]])</f>
        <v>NA</v>
      </c>
      <c r="AE139" s="119" t="str">
        <f>IF(ValbyACO_ICC7[[#This Row],[2022 Member Months]]=0,"NA",SUMIFS(ACOAETME2022[[#All],[TOTAL Truncated Unadjusted Expenses (A20+A21)]],ACOAETME2022[[#All],[Insurance Category Code]],$E$132,ACOAETME2022[[#All],[ACO/AE or Insurer Overall Organization ID]],ValbyACO_ICC7[[#This Row],[Org ID]])/ValbyACO_ICC7[[#This Row],[2022 Member Months]])</f>
        <v>NA</v>
      </c>
      <c r="AF139" s="161" t="str">
        <f>IFERROR(IF(ValbyACO_ICC7[[#This Row],[2021 Member Months]]=0,"NA",ValbyACO_ICC7[[#This Row],[2022 Member Months]]/ValbyACO_ICC7[[#This Row],[2021 Member Months]]-1),"NA")</f>
        <v>NA</v>
      </c>
      <c r="AG139" s="161" t="str">
        <f>IFERROR(IF(ValbyACO_ICC7[[#This Row],[2021 Member Months]]=0,"NA",ValbyACO_ICC7[[#This Row],[2022 Claims: Hospital Inpatient]]/ValbyACO_ICC7[[#This Row],[2021 Claims: Hospital Inpatient]]-1),"NA")</f>
        <v>NA</v>
      </c>
      <c r="AH139" s="162" t="str">
        <f>IFERROR(IF(ValbyACO_ICC7[[#This Row],[2021 Member Months]]=0,"NA",ValbyACO_ICC7[[#This Row],[2022 Claims: Hospital Outpatient]]/ValbyACO_ICC7[[#This Row],[2021 Claims: Hospital Outpatient]]-1),"NA")</f>
        <v>NA</v>
      </c>
      <c r="AI139" s="162" t="str">
        <f>IFERROR(IF(ValbyACO_ICC7[[#This Row],[2021 Member Months]]=0,"NA",ValbyACO_ICC7[[#This Row],[2022 Claims: Professional, Primary Care]]/ValbyACO_ICC7[[#This Row],[2021 Claims: Professional, Primary Care]]-1),"NA")</f>
        <v>NA</v>
      </c>
      <c r="AJ139" s="162" t="str">
        <f>IFERROR(IF(ValbyACO_ICC7[[#This Row],[2021 Member Months]]=0,"NA",ValbyACO_ICC7[[#This Row],[2022 Claims: Professional, Specialty Care]]/ValbyACO_ICC7[[#This Row],[2021 Claims: Professional, Specialty Care]]-1),"NA")</f>
        <v>NA</v>
      </c>
      <c r="AK139" s="162" t="str">
        <f>IFERROR(IF(ValbyACO_ICC7[[#This Row],[2021 Member Months]]=0,"NA", ValbyACO_ICC7[[#This Row],[2022 Claims: Professional Other]]/ValbyACO_ICC7[[#This Row],[2021 Claims: Professional Other]]-1),"NA")</f>
        <v>NA</v>
      </c>
      <c r="AL139" s="162" t="str">
        <f>IFERROR(IF(ValbyACO_ICC7[[#This Row],[2021 Member Months]]=0,"NA",ValbyACO_ICC7[[#This Row],[2022 Claims: Pharmacy (Gross of Retail Pharmacy Rebates)]]/ValbyACO_ICC7[[#This Row],[2021 Claims: Pharmacy (Gross of  Rebates)]]-1),"NA")</f>
        <v>NA</v>
      </c>
      <c r="AM139" s="162" t="str">
        <f>IFERROR(IF(ValbyACO_ICC7[[#This Row],[2021 Member Months]]=0,"NA",ValbyACO_ICC7[[#This Row],[2022 Claims: Long-term Care]]/ValbyACO_ICC7[[#This Row],[2021 Claims: Long-term Care]]-1),"NA")</f>
        <v>NA</v>
      </c>
      <c r="AN139" s="162" t="str">
        <f>IFERROR(IF(ValbyACO_ICC7[[#This Row],[2021 Member Months]]=0,"NA",ValbyACO_ICC7[[#This Row],[2022 Claims: Other]]/ValbyACO_ICC7[[#This Row],[2021 Claims: Other]]-1),"NA")</f>
        <v>NA</v>
      </c>
      <c r="AO139" s="163" t="str">
        <f>IFERROR(IF(ValbyACO_ICC7[[#This Row],[2021 Member Months]]=0,"NA",ValbyACO_ICC7[[#This Row],[2022 TOTAL Non-Truncated Claims Expenses]]/ValbyACO_ICC7[[#This Row],[2021 TOTAL Non-Truncated Claims Expenses]]-1),"NA")</f>
        <v>NA</v>
      </c>
      <c r="AP139" s="163" t="str">
        <f>IFERROR(IF(ValbyACO_ICC7[[#This Row],[2021 Member Months]]=0,"NA",ValbyACO_ICC7[[#This Row],[2022 TOTAL Truncated Claims Expenses]]/ValbyACO_ICC7[[#This Row],[2021 TOTAL Truncated Claims Expenses]]-1),"NA")</f>
        <v>NA</v>
      </c>
      <c r="AQ139" s="163" t="str">
        <f>IFERROR(IF(ValbyACO_ICC7[[#This Row],[2021 Member Months]]=0,"NA",ValbyACO_ICC7[[#This Row],[2022 TOTAL Non-Claims Expenses]]/ValbyACO_ICC7[[#This Row],[2021 TOTAL Non-Claims Expenses]]-1),"NA")</f>
        <v>NA</v>
      </c>
      <c r="AR139" s="163" t="str">
        <f>IFERROR(IF(ValbyACO_ICC7[[#This Row],[2021 Member Months]]=0,"NA",ValbyACO_ICC7[[#This Row],[2022 TOTAL Non-Truncated Total Expenses]]/ValbyACO_ICC7[[#This Row],[2021 TOTAL Non-Truncated Total Expenses]]-1),"NA")</f>
        <v>NA</v>
      </c>
      <c r="AS139" s="163" t="str">
        <f>IFERROR(IF(ValbyACO_ICC7[[#This Row],[2021 Member Months]]=0,"NA",ValbyACO_ICC7[[#This Row],[2022 TOTAL Truncated Total Expenses]]/ValbyACO_ICC7[[#This Row],[2021 TOTAL Truncated Total Expenses]]-1),"NA")</f>
        <v>NA</v>
      </c>
    </row>
    <row r="140" spans="1:45" x14ac:dyDescent="0.35">
      <c r="A140" s="129"/>
      <c r="B140" s="250">
        <v>107</v>
      </c>
      <c r="C140" s="291" t="s">
        <v>171</v>
      </c>
      <c r="D140" s="120">
        <f>SUMIFS(ACOAETME2021[[#All],[Member Months]], ACOAETME2021[[#All],[Insurance Category Code]], $E$132, ACOAETME2021[[#All],[ACO/AE or Insurer Overall Organization ID]], ValbyACO_ICC7[[#This Row],[Org ID]])</f>
        <v>0</v>
      </c>
      <c r="E140" s="268" t="str">
        <f>IFERROR(IF(ValbyACO_ICC7[[#This Row],[2021 Member Months]]=0,"NA",SUMIFS(ACOAETME2021[[#All],[Claims: Hospital Inpatient]], ACOAETME2021[[#All],[Insurance Category Code]], $E$132, ACOAETME2021[[#All],[ACO/AE or Insurer Overall Organization ID]], ValbyACO_ICC7[[#This Row],[Org ID]])/ValbyACO_ICC7[[#This Row],[2021 Member Months]]), "NA")</f>
        <v>NA</v>
      </c>
      <c r="F140" s="341" t="str">
        <f>IFERROR(IF(ValbyACO_ICC7[[#This Row],[2021 Member Months]]=0,"NA",SUMIFS(ACOAETME2021[[#All],[Claims: Hospital Outpatient]], ACOAETME2021[[#All],[Insurance Category Code]], $E$132, ACOAETME2021[[#All],[ACO/AE or Insurer Overall Organization ID]], ValbyACO_ICC7[[#This Row],[Org ID]])/ValbyACO_ICC7[[#This Row],[2021 Member Months]]), "NA")</f>
        <v>NA</v>
      </c>
      <c r="G140" s="341" t="str">
        <f>IFERROR(IF(ValbyACO_ICC7[[#This Row],[2021 Member Months]]=0,"NA",SUMIFS(ACOAETME2021[[#All],[Claims: Professional, Primary Care]], ACOAETME2021[[#All],[Insurance Category Code]], $E$132, ACOAETME2021[[#All],[ACO/AE or Insurer Overall Organization ID]], ValbyACO_ICC7[[#This Row],[Org ID]])/ValbyACO_ICC7[[#This Row],[2021 Member Months]]), "NA")</f>
        <v>NA</v>
      </c>
      <c r="H140" s="341" t="str">
        <f>IFERROR(IF(ValbyACO_ICC7[[#This Row],[2021 Member Months]]=0,"NA",SUMIFS(ACOAETME2021[[#All],[Claims: Professional, Specialty Care]], ACOAETME2021[[#All],[Insurance Category Code]], $E$132, ACOAETME2021[[#All],[ACO/AE or Insurer Overall Organization ID]], ValbyACO_ICC7[[#This Row],[Org ID]])/ValbyACO_ICC7[[#This Row],[2021 Member Months]]), "NA")</f>
        <v>NA</v>
      </c>
      <c r="I140" s="341" t="str">
        <f>IFERROR(IF(ValbyACO_ICC7[[#This Row],[2021 Member Months]]=0,"NA",SUMIFS(ACOAETME2021[[#All],[Claims: Professional Other]], ACOAETME2021[[#All],[Insurance Category Code]], $E$132, ACOAETME2021[[#All],[ACO/AE or Insurer Overall Organization ID]], ValbyACO_ICC7[[#This Row],[Org ID]])/ValbyACO_ICC7[[#This Row],[2021 Member Months]]), "NA")</f>
        <v>NA</v>
      </c>
      <c r="J140" s="341" t="str">
        <f>IFERROR(IF(ValbyACO_ICC7[[#This Row],[2021 Member Months]]=0,"NA",SUMIFS(ACOAETME2021[[#All],[Claims: Pharmacy]], ACOAETME2021[[#All],[Insurance Category Code]], $E$132, ACOAETME2021[[#All],[ACO/AE or Insurer Overall Organization ID]], ValbyACO_ICC7[[#This Row],[Org ID]])/ValbyACO_ICC7[[#This Row],[2021 Member Months]]), "NA")</f>
        <v>NA</v>
      </c>
      <c r="K140" s="341" t="str">
        <f>IFERROR(IF(ValbyACO_ICC7[[#This Row],[2021 Member Months]]=0,"NA",SUMIFS(ACOAETME2021[[#All],[Claims: Long-Term Care]], ACOAETME2021[[#All],[Insurance Category Code]], $E$132, ACOAETME2021[[#All],[ACO/AE or Insurer Overall Organization ID]], ValbyACO_ICC7[[#This Row],[Org ID]])/ValbyACO_ICC7[[#This Row],[2021 Member Months]]), "NA")</f>
        <v>NA</v>
      </c>
      <c r="L140" s="341" t="str">
        <f>IFERROR(IF(ValbyACO_ICC7[[#This Row],[2021 Member Months]]=0,"NA",SUMIFS(ACOAETME2021[[#All],[Claims: Other]], ACOAETME2021[[#All],[Insurance Category Code]], $E$132, ACOAETME2021[[#All],[ACO/AE or Insurer Overall Organization ID]], ValbyACO_ICC7[[#This Row],[Org ID]])/ValbyACO_ICC7[[#This Row],[2021 Member Months]]), "NA")</f>
        <v>NA</v>
      </c>
      <c r="M140" s="130" t="str">
        <f>IF(ValbyACO_ICC7[[#This Row],[2021 Member Months]]=0,"NA",SUMIFS(ACOAETME2021[[#All],[TOTAL Non-Truncated Unadjusted Claims Expenses]], ACOAETME2021[[#All],[Insurance Category Code]], $E$132, ACOAETME2021[[#All],[ACO/AE or Insurer Overall Organization ID]], ValbyACO_ICC7[[#This Row],[Org ID]])/ValbyACO_ICC7[[#This Row],[2021 Member Months]])</f>
        <v>NA</v>
      </c>
      <c r="N140" s="130" t="str">
        <f>IF(ValbyACO_ICC7[[#This Row],[2021 Member Months]]=0,"NA",SUMIFS(ACOAETME2021[[#All],[TOTAL Truncated Unadjusted Claims Expenses (A19 - A17)]], ACOAETME2021[[#All],[Insurance Category Code]], $E$132, ACOAETME2021[[#All],[ACO/AE or Insurer Overall Organization ID]], ValbyACO_ICC7[[#This Row],[Org ID]])/ValbyACO_ICC7[[#This Row],[2021 Member Months]])</f>
        <v>NA</v>
      </c>
      <c r="O140" s="130" t="str">
        <f>IF(ValbyACO_ICC7[[#This Row],[2021 Member Months]]=0,"NA",SUMIFS(ACOAETME2021[[#All],[TOTAL Non-Claims Expenses]], ACOAETME2021[[#All],[Insurance Category Code]], $E$132, ACOAETME2021[[#All],[ACO/AE or Insurer Overall Organization ID]], ValbyACO_ICC7[[#This Row],[Org ID]])/ValbyACO_ICC7[[#This Row],[2021 Member Months]])</f>
        <v>NA</v>
      </c>
      <c r="P140" s="288" t="str">
        <f>IF(ValbyACO_ICC7[[#This Row],[2021 Member Months]]=0, "NA", SUMIFS(ACOAETME2021[[#All],[TOTAL Non-Truncated Unadjusted Expenses 
(A19+A21)]], ACOAETME2021[Insurance Category Code], $E$132, ACOAETME2021[ACO/AE or Insurer Overall Organization ID], ValbyACO_ICC7[[#This Row],[Org ID]])/ValbyACO_ICC7[[#This Row],[2021 Member Months]])</f>
        <v>NA</v>
      </c>
      <c r="Q140" s="119" t="str">
        <f>IF(ValbyACO_ICC7[[#This Row],[2021 Member Months]]=0, "NA", SUMIFS(ACOAETME2021[[#All],[TOTAL Truncated Unadjusted Expenses (A20+A21)]], ACOAETME2021[[#All],[Insurance Category Code]], $E$132, ACOAETME2021[[#All],[ACO/AE or Insurer Overall Organization ID]], ValbyACO_ICC7[[#This Row],[Org ID]])/ValbyACO_ICC7[[#This Row],[2021 Member Months]])</f>
        <v>NA</v>
      </c>
      <c r="R140" s="120">
        <f>SUMIFS(ACOAETME2022[[#All],[Member Months]],ACOAETME2022[[#All],[Insurance Category Code]], $E$132,ACOAETME2022[[#All],[ACO/AE or Insurer Overall Organization ID]],ValbyACO_ICC7[[#This Row],[Org ID]])</f>
        <v>0</v>
      </c>
      <c r="S140" s="118" t="str">
        <f>IF(ValbyACO_ICC7[[#This Row],[2022 Member Months]]=0,"NA",SUMIFS(ACOAETME2022[[#All],[Claims: Hospital Inpatient]],ACOAETME2022[[#All],[Insurance Category Code]], $E$132,ACOAETME2022[[#All],[ACO/AE or Insurer Overall Organization ID]],ValbyACO_ICC7[[#This Row],[Org ID]])/ValbyACO_ICC7[[#This Row],[2022 Member Months]])</f>
        <v>NA</v>
      </c>
      <c r="T140" s="88" t="str">
        <f>IF(ValbyACO_ICC7[[#This Row],[2022 Member Months]]=0,"NA",SUMIFS(ACOAETME2022[[#All],[Claims: Hospital Outpatient]],ACOAETME2022[[#All],[Insurance Category Code]], $E$132,ACOAETME2022[[#All],[ACO/AE or Insurer Overall Organization ID]],ValbyACO_ICC7[[#This Row],[Org ID]])/ValbyACO_ICC7[[#This Row],[2022 Member Months]])</f>
        <v>NA</v>
      </c>
      <c r="U140" s="88" t="str">
        <f>IF(ValbyACO_ICC7[[#This Row],[2022 Member Months]]=0,"NA",SUMIFS(ACOAETME2022[[#All],[Claims: Professional, Primary Care]],ACOAETME2022[[#All],[Insurance Category Code]], $E$132,ACOAETME2022[[#All],[ACO/AE or Insurer Overall Organization ID]],ValbyACO_ICC7[[#This Row],[Org ID]])/ValbyACO_ICC7[[#This Row],[2022 Member Months]])</f>
        <v>NA</v>
      </c>
      <c r="V140" s="88" t="str">
        <f>IF(ValbyACO_ICC7[[#This Row],[2022 Member Months]]=0,"NA",SUMIFS(ACOAETME2022[[#All],[Claims: Professional, Specialty Care]],ACOAETME2022[[#All],[Insurance Category Code]], $E$132,ACOAETME2022[[#All],[ACO/AE or Insurer Overall Organization ID]],ValbyACO_ICC7[[#This Row],[Org ID]])/ValbyACO_ICC7[[#This Row],[2022 Member Months]])</f>
        <v>NA</v>
      </c>
      <c r="W140" s="88" t="str">
        <f>IF(ValbyACO_ICC7[[#This Row],[2022 Member Months]]=0,"NA",SUMIFS(ACOAETME2022[[#All],[Claims: Professional Other]],ACOAETME2022[[#All],[Insurance Category Code]], $E$132,ACOAETME2022[[#All],[ACO/AE or Insurer Overall Organization ID]],ValbyACO_ICC7[[#This Row],[Org ID]])/ValbyACO_ICC7[[#This Row],[2022 Member Months]])</f>
        <v>NA</v>
      </c>
      <c r="X140" s="88" t="str">
        <f>IF(ValbyACO_ICC7[[#This Row],[2022 Member Months]]=0,"NA",SUMIFS(ACOAETME2022[[#All],[Claims: Pharmacy]],ACOAETME2022[[#All],[Insurance Category Code]], $E$132,ACOAETME2022[[#All],[ACO/AE or Insurer Overall Organization ID]],ValbyACO_ICC7[[#This Row],[Org ID]])/ValbyACO_ICC7[[#This Row],[2022 Member Months]])</f>
        <v>NA</v>
      </c>
      <c r="Y140" s="88" t="str">
        <f>IF(ValbyACO_ICC7[[#This Row],[2022 Member Months]]=0,"NA",SUMIFS(ACOAETME2022[[#All],[Claims: Long-Term Care]],ACOAETME2022[[#All],[Insurance Category Code]], $E$132,ACOAETME2022[[#All],[ACO/AE or Insurer Overall Organization ID]],ValbyACO_ICC7[[#This Row],[Org ID]])/ValbyACO_ICC7[[#This Row],[2022 Member Months]])</f>
        <v>NA</v>
      </c>
      <c r="Z140" s="88" t="str">
        <f>IF(ValbyACO_ICC7[[#This Row],[2022 Member Months]]=0,"NA",SUMIFS(ACOAETME2022[[#All],[Claims: Other]],ACOAETME2022[[#All],[Insurance Category Code]], $E$132,ACOAETME2022[[#All],[ACO/AE or Insurer Overall Organization ID]],ValbyACO_ICC7[[#This Row],[Org ID]])/ValbyACO_ICC7[[#This Row],[2022 Member Months]])</f>
        <v>NA</v>
      </c>
      <c r="AA140" s="130" t="str">
        <f>IF(ValbyACO_ICC7[[#This Row],[2022 Member Months]]=0,"NA",SUMIFS(ACOAETME2022[[#All],[TOTAL Non-Truncated Unadjusted Claims Expenses]],ACOAETME2022[[#All],[Insurance Category Code]], $E$132,ACOAETME2022[[#All],[ACO/AE or Insurer Overall Organization ID]],ValbyACO_ICC7[[#This Row],[Org ID]])/ValbyACO_ICC7[[#This Row],[2022 Member Months]])</f>
        <v>NA</v>
      </c>
      <c r="AB140" s="130" t="str">
        <f>IF(ValbyACO_ICC7[[#This Row],[2022 Member Months]]=0,"NA",SUMIFS(ACOAETME2022[[#All],[TOTAL Truncated Unadjusted Expenses (A20+A21)]],ACOAETME2022[[#All],[Insurance Category Code]], $E$132,ACOAETME2022[[#All],[ACO/AE or Insurer Overall Organization ID]],ValbyACO_ICC7[[#This Row],[Org ID]])/ValbyACO_ICC7[[#This Row],[2022 Member Months]])</f>
        <v>NA</v>
      </c>
      <c r="AC140" s="130" t="str">
        <f>IF(ValbyACO_ICC7[[#This Row],[2022 Member Months]]=0,"NA",SUMIFS(ACOAETME2022[[#All],[TOTAL Non-Claims Expenses]],ACOAETME2022[[#All],[Insurance Category Code]], $E$132,ACOAETME2022[[#All],[ACO/AE or Insurer Overall Organization ID]],ValbyACO_ICC7[[#This Row],[Org ID]])/ValbyACO_ICC7[[#This Row],[2022 Member Months]])</f>
        <v>NA</v>
      </c>
      <c r="AD140" s="288" t="str">
        <f>IF(ValbyACO_ICC7[[#This Row],[2022 Member Months]]=0,"NA",SUMIFS(ACOAETME2022[[#All],[TOTAL Non-Truncated Unadjusted Expenses 
(A19+A21)]],ACOAETME2022[[#All],[Insurance Category Code]], $E$132,ACOAETME2022[[#All],[ACO/AE or Insurer Overall Organization ID]],ValbyACO_ICC7[[#This Row],[Org ID]])/ValbyACO_ICC7[[#This Row],[2022 Member Months]])</f>
        <v>NA</v>
      </c>
      <c r="AE140" s="119" t="str">
        <f>IF(ValbyACO_ICC7[[#This Row],[2022 Member Months]]=0,"NA",SUMIFS(ACOAETME2022[[#All],[TOTAL Truncated Unadjusted Expenses (A20+A21)]],ACOAETME2022[[#All],[Insurance Category Code]],$E$132,ACOAETME2022[[#All],[ACO/AE or Insurer Overall Organization ID]],ValbyACO_ICC7[[#This Row],[Org ID]])/ValbyACO_ICC7[[#This Row],[2022 Member Months]])</f>
        <v>NA</v>
      </c>
      <c r="AF140" s="161" t="str">
        <f>IFERROR(IF(ValbyACO_ICC7[[#This Row],[2021 Member Months]]=0,"NA",ValbyACO_ICC7[[#This Row],[2022 Member Months]]/ValbyACO_ICC7[[#This Row],[2021 Member Months]]-1),"NA")</f>
        <v>NA</v>
      </c>
      <c r="AG140" s="161" t="str">
        <f>IFERROR(IF(ValbyACO_ICC7[[#This Row],[2021 Member Months]]=0,"NA",ValbyACO_ICC7[[#This Row],[2022 Claims: Hospital Inpatient]]/ValbyACO_ICC7[[#This Row],[2021 Claims: Hospital Inpatient]]-1),"NA")</f>
        <v>NA</v>
      </c>
      <c r="AH140" s="162" t="str">
        <f>IFERROR(IF(ValbyACO_ICC7[[#This Row],[2021 Member Months]]=0,"NA",ValbyACO_ICC7[[#This Row],[2022 Claims: Hospital Outpatient]]/ValbyACO_ICC7[[#This Row],[2021 Claims: Hospital Outpatient]]-1),"NA")</f>
        <v>NA</v>
      </c>
      <c r="AI140" s="162" t="str">
        <f>IFERROR(IF(ValbyACO_ICC7[[#This Row],[2021 Member Months]]=0,"NA",ValbyACO_ICC7[[#This Row],[2022 Claims: Professional, Primary Care]]/ValbyACO_ICC7[[#This Row],[2021 Claims: Professional, Primary Care]]-1),"NA")</f>
        <v>NA</v>
      </c>
      <c r="AJ140" s="162" t="str">
        <f>IFERROR(IF(ValbyACO_ICC7[[#This Row],[2021 Member Months]]=0,"NA",ValbyACO_ICC7[[#This Row],[2022 Claims: Professional, Specialty Care]]/ValbyACO_ICC7[[#This Row],[2021 Claims: Professional, Specialty Care]]-1),"NA")</f>
        <v>NA</v>
      </c>
      <c r="AK140" s="162" t="str">
        <f>IFERROR(IF(ValbyACO_ICC7[[#This Row],[2021 Member Months]]=0,"NA", ValbyACO_ICC7[[#This Row],[2022 Claims: Professional Other]]/ValbyACO_ICC7[[#This Row],[2021 Claims: Professional Other]]-1),"NA")</f>
        <v>NA</v>
      </c>
      <c r="AL140" s="162" t="str">
        <f>IFERROR(IF(ValbyACO_ICC7[[#This Row],[2021 Member Months]]=0,"NA",ValbyACO_ICC7[[#This Row],[2022 Claims: Pharmacy (Gross of Retail Pharmacy Rebates)]]/ValbyACO_ICC7[[#This Row],[2021 Claims: Pharmacy (Gross of  Rebates)]]-1),"NA")</f>
        <v>NA</v>
      </c>
      <c r="AM140" s="162" t="str">
        <f>IFERROR(IF(ValbyACO_ICC7[[#This Row],[2021 Member Months]]=0,"NA",ValbyACO_ICC7[[#This Row],[2022 Claims: Long-term Care]]/ValbyACO_ICC7[[#This Row],[2021 Claims: Long-term Care]]-1),"NA")</f>
        <v>NA</v>
      </c>
      <c r="AN140" s="162" t="str">
        <f>IFERROR(IF(ValbyACO_ICC7[[#This Row],[2021 Member Months]]=0,"NA",ValbyACO_ICC7[[#This Row],[2022 Claims: Other]]/ValbyACO_ICC7[[#This Row],[2021 Claims: Other]]-1),"NA")</f>
        <v>NA</v>
      </c>
      <c r="AO140" s="163" t="str">
        <f>IFERROR(IF(ValbyACO_ICC7[[#This Row],[2021 Member Months]]=0,"NA",ValbyACO_ICC7[[#This Row],[2022 TOTAL Non-Truncated Claims Expenses]]/ValbyACO_ICC7[[#This Row],[2021 TOTAL Non-Truncated Claims Expenses]]-1),"NA")</f>
        <v>NA</v>
      </c>
      <c r="AP140" s="163" t="str">
        <f>IFERROR(IF(ValbyACO_ICC7[[#This Row],[2021 Member Months]]=0,"NA",ValbyACO_ICC7[[#This Row],[2022 TOTAL Truncated Claims Expenses]]/ValbyACO_ICC7[[#This Row],[2021 TOTAL Truncated Claims Expenses]]-1),"NA")</f>
        <v>NA</v>
      </c>
      <c r="AQ140" s="163" t="str">
        <f>IFERROR(IF(ValbyACO_ICC7[[#This Row],[2021 Member Months]]=0,"NA",ValbyACO_ICC7[[#This Row],[2022 TOTAL Non-Claims Expenses]]/ValbyACO_ICC7[[#This Row],[2021 TOTAL Non-Claims Expenses]]-1),"NA")</f>
        <v>NA</v>
      </c>
      <c r="AR140" s="163" t="str">
        <f>IFERROR(IF(ValbyACO_ICC7[[#This Row],[2021 Member Months]]=0,"NA",ValbyACO_ICC7[[#This Row],[2022 TOTAL Non-Truncated Total Expenses]]/ValbyACO_ICC7[[#This Row],[2021 TOTAL Non-Truncated Total Expenses]]-1),"NA")</f>
        <v>NA</v>
      </c>
      <c r="AS140" s="163" t="str">
        <f>IFERROR(IF(ValbyACO_ICC7[[#This Row],[2021 Member Months]]=0,"NA",ValbyACO_ICC7[[#This Row],[2022 TOTAL Truncated Total Expenses]]/ValbyACO_ICC7[[#This Row],[2021 TOTAL Truncated Total Expenses]]-1),"NA")</f>
        <v>NA</v>
      </c>
    </row>
    <row r="141" spans="1:45" x14ac:dyDescent="0.35">
      <c r="A141" s="129"/>
      <c r="B141" s="250">
        <v>108</v>
      </c>
      <c r="C141" s="291" t="s">
        <v>508</v>
      </c>
      <c r="D141" s="120">
        <f>SUMIFS(ACOAETME2021[[#All],[Member Months]], ACOAETME2021[[#All],[Insurance Category Code]], $E$132, ACOAETME2021[[#All],[ACO/AE or Insurer Overall Organization ID]], ValbyACO_ICC7[[#This Row],[Org ID]])</f>
        <v>0</v>
      </c>
      <c r="E141" s="268" t="str">
        <f>IFERROR(IF(ValbyACO_ICC7[[#This Row],[2021 Member Months]]=0,"NA",SUMIFS(ACOAETME2021[[#All],[Claims: Hospital Inpatient]], ACOAETME2021[[#All],[Insurance Category Code]], $E$132, ACOAETME2021[[#All],[ACO/AE or Insurer Overall Organization ID]], ValbyACO_ICC7[[#This Row],[Org ID]])/ValbyACO_ICC7[[#This Row],[2021 Member Months]]), "NA")</f>
        <v>NA</v>
      </c>
      <c r="F141" s="341" t="str">
        <f>IFERROR(IF(ValbyACO_ICC7[[#This Row],[2021 Member Months]]=0,"NA",SUMIFS(ACOAETME2021[[#All],[Claims: Hospital Outpatient]], ACOAETME2021[[#All],[Insurance Category Code]], $E$132, ACOAETME2021[[#All],[ACO/AE or Insurer Overall Organization ID]], ValbyACO_ICC7[[#This Row],[Org ID]])/ValbyACO_ICC7[[#This Row],[2021 Member Months]]), "NA")</f>
        <v>NA</v>
      </c>
      <c r="G141" s="341" t="str">
        <f>IFERROR(IF(ValbyACO_ICC7[[#This Row],[2021 Member Months]]=0,"NA",SUMIFS(ACOAETME2021[[#All],[Claims: Professional, Primary Care]], ACOAETME2021[[#All],[Insurance Category Code]], $E$132, ACOAETME2021[[#All],[ACO/AE or Insurer Overall Organization ID]], ValbyACO_ICC7[[#This Row],[Org ID]])/ValbyACO_ICC7[[#This Row],[2021 Member Months]]), "NA")</f>
        <v>NA</v>
      </c>
      <c r="H141" s="341" t="str">
        <f>IFERROR(IF(ValbyACO_ICC7[[#This Row],[2021 Member Months]]=0,"NA",SUMIFS(ACOAETME2021[[#All],[Claims: Professional, Specialty Care]], ACOAETME2021[[#All],[Insurance Category Code]], $E$132, ACOAETME2021[[#All],[ACO/AE or Insurer Overall Organization ID]], ValbyACO_ICC7[[#This Row],[Org ID]])/ValbyACO_ICC7[[#This Row],[2021 Member Months]]), "NA")</f>
        <v>NA</v>
      </c>
      <c r="I141" s="341" t="str">
        <f>IFERROR(IF(ValbyACO_ICC7[[#This Row],[2021 Member Months]]=0,"NA",SUMIFS(ACOAETME2021[[#All],[Claims: Professional Other]], ACOAETME2021[[#All],[Insurance Category Code]], $E$132, ACOAETME2021[[#All],[ACO/AE or Insurer Overall Organization ID]], ValbyACO_ICC7[[#This Row],[Org ID]])/ValbyACO_ICC7[[#This Row],[2021 Member Months]]), "NA")</f>
        <v>NA</v>
      </c>
      <c r="J141" s="341" t="str">
        <f>IFERROR(IF(ValbyACO_ICC7[[#This Row],[2021 Member Months]]=0,"NA",SUMIFS(ACOAETME2021[[#All],[Claims: Pharmacy]], ACOAETME2021[[#All],[Insurance Category Code]], $E$132, ACOAETME2021[[#All],[ACO/AE or Insurer Overall Organization ID]], ValbyACO_ICC7[[#This Row],[Org ID]])/ValbyACO_ICC7[[#This Row],[2021 Member Months]]), "NA")</f>
        <v>NA</v>
      </c>
      <c r="K141" s="341" t="str">
        <f>IFERROR(IF(ValbyACO_ICC7[[#This Row],[2021 Member Months]]=0,"NA",SUMIFS(ACOAETME2021[[#All],[Claims: Long-Term Care]], ACOAETME2021[[#All],[Insurance Category Code]], $E$132, ACOAETME2021[[#All],[ACO/AE or Insurer Overall Organization ID]], ValbyACO_ICC7[[#This Row],[Org ID]])/ValbyACO_ICC7[[#This Row],[2021 Member Months]]), "NA")</f>
        <v>NA</v>
      </c>
      <c r="L141" s="341" t="str">
        <f>IFERROR(IF(ValbyACO_ICC7[[#This Row],[2021 Member Months]]=0,"NA",SUMIFS(ACOAETME2021[[#All],[Claims: Other]], ACOAETME2021[[#All],[Insurance Category Code]], $E$132, ACOAETME2021[[#All],[ACO/AE or Insurer Overall Organization ID]], ValbyACO_ICC7[[#This Row],[Org ID]])/ValbyACO_ICC7[[#This Row],[2021 Member Months]]), "NA")</f>
        <v>NA</v>
      </c>
      <c r="M141" s="130" t="str">
        <f>IF(ValbyACO_ICC7[[#This Row],[2021 Member Months]]=0,"NA",SUMIFS(ACOAETME2021[[#All],[TOTAL Non-Truncated Unadjusted Claims Expenses]], ACOAETME2021[[#All],[Insurance Category Code]], $E$132, ACOAETME2021[[#All],[ACO/AE or Insurer Overall Organization ID]], ValbyACO_ICC7[[#This Row],[Org ID]])/ValbyACO_ICC7[[#This Row],[2021 Member Months]])</f>
        <v>NA</v>
      </c>
      <c r="N141" s="130" t="str">
        <f>IF(ValbyACO_ICC7[[#This Row],[2021 Member Months]]=0,"NA",SUMIFS(ACOAETME2021[[#All],[TOTAL Truncated Unadjusted Claims Expenses (A19 - A17)]], ACOAETME2021[[#All],[Insurance Category Code]], $E$132, ACOAETME2021[[#All],[ACO/AE or Insurer Overall Organization ID]], ValbyACO_ICC7[[#This Row],[Org ID]])/ValbyACO_ICC7[[#This Row],[2021 Member Months]])</f>
        <v>NA</v>
      </c>
      <c r="O141" s="130" t="str">
        <f>IF(ValbyACO_ICC7[[#This Row],[2021 Member Months]]=0,"NA",SUMIFS(ACOAETME2021[[#All],[TOTAL Non-Claims Expenses]], ACOAETME2021[[#All],[Insurance Category Code]], $E$132, ACOAETME2021[[#All],[ACO/AE or Insurer Overall Organization ID]], ValbyACO_ICC7[[#This Row],[Org ID]])/ValbyACO_ICC7[[#This Row],[2021 Member Months]])</f>
        <v>NA</v>
      </c>
      <c r="P141" s="288" t="str">
        <f>IF(ValbyACO_ICC7[[#This Row],[2021 Member Months]]=0, "NA", SUMIFS(ACOAETME2021[[#All],[TOTAL Non-Truncated Unadjusted Expenses 
(A19+A21)]], ACOAETME2021[Insurance Category Code], $E$132, ACOAETME2021[ACO/AE or Insurer Overall Organization ID], ValbyACO_ICC7[[#This Row],[Org ID]])/ValbyACO_ICC7[[#This Row],[2021 Member Months]])</f>
        <v>NA</v>
      </c>
      <c r="Q141" s="119" t="str">
        <f>IF(ValbyACO_ICC7[[#This Row],[2021 Member Months]]=0, "NA", SUMIFS(ACOAETME2021[[#All],[TOTAL Truncated Unadjusted Expenses (A20+A21)]], ACOAETME2021[[#All],[Insurance Category Code]], $E$132, ACOAETME2021[[#All],[ACO/AE or Insurer Overall Organization ID]], ValbyACO_ICC7[[#This Row],[Org ID]])/ValbyACO_ICC7[[#This Row],[2021 Member Months]])</f>
        <v>NA</v>
      </c>
      <c r="R141" s="120">
        <f>SUMIFS(ACOAETME2022[[#All],[Member Months]],ACOAETME2022[[#All],[Insurance Category Code]], $E$132,ACOAETME2022[[#All],[ACO/AE or Insurer Overall Organization ID]],ValbyACO_ICC7[[#This Row],[Org ID]])</f>
        <v>0</v>
      </c>
      <c r="S141" s="118" t="str">
        <f>IF(ValbyACO_ICC7[[#This Row],[2022 Member Months]]=0,"NA",SUMIFS(ACOAETME2022[[#All],[Claims: Hospital Inpatient]],ACOAETME2022[[#All],[Insurance Category Code]], $E$132,ACOAETME2022[[#All],[ACO/AE or Insurer Overall Organization ID]],ValbyACO_ICC7[[#This Row],[Org ID]])/ValbyACO_ICC7[[#This Row],[2022 Member Months]])</f>
        <v>NA</v>
      </c>
      <c r="T141" s="88" t="str">
        <f>IF(ValbyACO_ICC7[[#This Row],[2022 Member Months]]=0,"NA",SUMIFS(ACOAETME2022[[#All],[Claims: Hospital Outpatient]],ACOAETME2022[[#All],[Insurance Category Code]], $E$132,ACOAETME2022[[#All],[ACO/AE or Insurer Overall Organization ID]],ValbyACO_ICC7[[#This Row],[Org ID]])/ValbyACO_ICC7[[#This Row],[2022 Member Months]])</f>
        <v>NA</v>
      </c>
      <c r="U141" s="88" t="str">
        <f>IF(ValbyACO_ICC7[[#This Row],[2022 Member Months]]=0,"NA",SUMIFS(ACOAETME2022[[#All],[Claims: Professional, Primary Care]],ACOAETME2022[[#All],[Insurance Category Code]], $E$132,ACOAETME2022[[#All],[ACO/AE or Insurer Overall Organization ID]],ValbyACO_ICC7[[#This Row],[Org ID]])/ValbyACO_ICC7[[#This Row],[2022 Member Months]])</f>
        <v>NA</v>
      </c>
      <c r="V141" s="88" t="str">
        <f>IF(ValbyACO_ICC7[[#This Row],[2022 Member Months]]=0,"NA",SUMIFS(ACOAETME2022[[#All],[Claims: Professional, Specialty Care]],ACOAETME2022[[#All],[Insurance Category Code]], $E$132,ACOAETME2022[[#All],[ACO/AE or Insurer Overall Organization ID]],ValbyACO_ICC7[[#This Row],[Org ID]])/ValbyACO_ICC7[[#This Row],[2022 Member Months]])</f>
        <v>NA</v>
      </c>
      <c r="W141" s="88" t="str">
        <f>IF(ValbyACO_ICC7[[#This Row],[2022 Member Months]]=0,"NA",SUMIFS(ACOAETME2022[[#All],[Claims: Professional Other]],ACOAETME2022[[#All],[Insurance Category Code]], $E$132,ACOAETME2022[[#All],[ACO/AE or Insurer Overall Organization ID]],ValbyACO_ICC7[[#This Row],[Org ID]])/ValbyACO_ICC7[[#This Row],[2022 Member Months]])</f>
        <v>NA</v>
      </c>
      <c r="X141" s="88" t="str">
        <f>IF(ValbyACO_ICC7[[#This Row],[2022 Member Months]]=0,"NA",SUMIFS(ACOAETME2022[[#All],[Claims: Pharmacy]],ACOAETME2022[[#All],[Insurance Category Code]], $E$132,ACOAETME2022[[#All],[ACO/AE or Insurer Overall Organization ID]],ValbyACO_ICC7[[#This Row],[Org ID]])/ValbyACO_ICC7[[#This Row],[2022 Member Months]])</f>
        <v>NA</v>
      </c>
      <c r="Y141" s="88" t="str">
        <f>IF(ValbyACO_ICC7[[#This Row],[2022 Member Months]]=0,"NA",SUMIFS(ACOAETME2022[[#All],[Claims: Long-Term Care]],ACOAETME2022[[#All],[Insurance Category Code]], $E$132,ACOAETME2022[[#All],[ACO/AE or Insurer Overall Organization ID]],ValbyACO_ICC7[[#This Row],[Org ID]])/ValbyACO_ICC7[[#This Row],[2022 Member Months]])</f>
        <v>NA</v>
      </c>
      <c r="Z141" s="88" t="str">
        <f>IF(ValbyACO_ICC7[[#This Row],[2022 Member Months]]=0,"NA",SUMIFS(ACOAETME2022[[#All],[Claims: Other]],ACOAETME2022[[#All],[Insurance Category Code]], $E$132,ACOAETME2022[[#All],[ACO/AE or Insurer Overall Organization ID]],ValbyACO_ICC7[[#This Row],[Org ID]])/ValbyACO_ICC7[[#This Row],[2022 Member Months]])</f>
        <v>NA</v>
      </c>
      <c r="AA141" s="130" t="str">
        <f>IF(ValbyACO_ICC7[[#This Row],[2022 Member Months]]=0,"NA",SUMIFS(ACOAETME2022[[#All],[TOTAL Non-Truncated Unadjusted Claims Expenses]],ACOAETME2022[[#All],[Insurance Category Code]], $E$132,ACOAETME2022[[#All],[ACO/AE or Insurer Overall Organization ID]],ValbyACO_ICC7[[#This Row],[Org ID]])/ValbyACO_ICC7[[#This Row],[2022 Member Months]])</f>
        <v>NA</v>
      </c>
      <c r="AB141" s="130" t="str">
        <f>IF(ValbyACO_ICC7[[#This Row],[2022 Member Months]]=0,"NA",SUMIFS(ACOAETME2022[[#All],[TOTAL Truncated Unadjusted Expenses (A20+A21)]],ACOAETME2022[[#All],[Insurance Category Code]], $E$132,ACOAETME2022[[#All],[ACO/AE or Insurer Overall Organization ID]],ValbyACO_ICC7[[#This Row],[Org ID]])/ValbyACO_ICC7[[#This Row],[2022 Member Months]])</f>
        <v>NA</v>
      </c>
      <c r="AC141" s="130" t="str">
        <f>IF(ValbyACO_ICC7[[#This Row],[2022 Member Months]]=0,"NA",SUMIFS(ACOAETME2022[[#All],[TOTAL Non-Claims Expenses]],ACOAETME2022[[#All],[Insurance Category Code]], $E$132,ACOAETME2022[[#All],[ACO/AE or Insurer Overall Organization ID]],ValbyACO_ICC7[[#This Row],[Org ID]])/ValbyACO_ICC7[[#This Row],[2022 Member Months]])</f>
        <v>NA</v>
      </c>
      <c r="AD141" s="288" t="str">
        <f>IF(ValbyACO_ICC7[[#This Row],[2022 Member Months]]=0,"NA",SUMIFS(ACOAETME2022[[#All],[TOTAL Non-Truncated Unadjusted Expenses 
(A19+A21)]],ACOAETME2022[[#All],[Insurance Category Code]], $E$132,ACOAETME2022[[#All],[ACO/AE or Insurer Overall Organization ID]],ValbyACO_ICC7[[#This Row],[Org ID]])/ValbyACO_ICC7[[#This Row],[2022 Member Months]])</f>
        <v>NA</v>
      </c>
      <c r="AE141" s="119" t="str">
        <f>IF(ValbyACO_ICC7[[#This Row],[2022 Member Months]]=0,"NA",SUMIFS(ACOAETME2022[[#All],[TOTAL Truncated Unadjusted Expenses (A20+A21)]],ACOAETME2022[[#All],[Insurance Category Code]],$E$132,ACOAETME2022[[#All],[ACO/AE or Insurer Overall Organization ID]],ValbyACO_ICC7[[#This Row],[Org ID]])/ValbyACO_ICC7[[#This Row],[2022 Member Months]])</f>
        <v>NA</v>
      </c>
      <c r="AF141" s="161" t="str">
        <f>IFERROR(IF(ValbyACO_ICC7[[#This Row],[2021 Member Months]]=0,"NA",ValbyACO_ICC7[[#This Row],[2022 Member Months]]/ValbyACO_ICC7[[#This Row],[2021 Member Months]]-1),"NA")</f>
        <v>NA</v>
      </c>
      <c r="AG141" s="161" t="str">
        <f>IFERROR(IF(ValbyACO_ICC7[[#This Row],[2021 Member Months]]=0,"NA",ValbyACO_ICC7[[#This Row],[2022 Claims: Hospital Inpatient]]/ValbyACO_ICC7[[#This Row],[2021 Claims: Hospital Inpatient]]-1),"NA")</f>
        <v>NA</v>
      </c>
      <c r="AH141" s="162" t="str">
        <f>IFERROR(IF(ValbyACO_ICC7[[#This Row],[2021 Member Months]]=0,"NA",ValbyACO_ICC7[[#This Row],[2022 Claims: Hospital Outpatient]]/ValbyACO_ICC7[[#This Row],[2021 Claims: Hospital Outpatient]]-1),"NA")</f>
        <v>NA</v>
      </c>
      <c r="AI141" s="162" t="str">
        <f>IFERROR(IF(ValbyACO_ICC7[[#This Row],[2021 Member Months]]=0,"NA",ValbyACO_ICC7[[#This Row],[2022 Claims: Professional, Primary Care]]/ValbyACO_ICC7[[#This Row],[2021 Claims: Professional, Primary Care]]-1),"NA")</f>
        <v>NA</v>
      </c>
      <c r="AJ141" s="162" t="str">
        <f>IFERROR(IF(ValbyACO_ICC7[[#This Row],[2021 Member Months]]=0,"NA",ValbyACO_ICC7[[#This Row],[2022 Claims: Professional, Specialty Care]]/ValbyACO_ICC7[[#This Row],[2021 Claims: Professional, Specialty Care]]-1),"NA")</f>
        <v>NA</v>
      </c>
      <c r="AK141" s="162" t="str">
        <f>IFERROR(IF(ValbyACO_ICC7[[#This Row],[2021 Member Months]]=0,"NA", ValbyACO_ICC7[[#This Row],[2022 Claims: Professional Other]]/ValbyACO_ICC7[[#This Row],[2021 Claims: Professional Other]]-1),"NA")</f>
        <v>NA</v>
      </c>
      <c r="AL141" s="162" t="str">
        <f>IFERROR(IF(ValbyACO_ICC7[[#This Row],[2021 Member Months]]=0,"NA",ValbyACO_ICC7[[#This Row],[2022 Claims: Pharmacy (Gross of Retail Pharmacy Rebates)]]/ValbyACO_ICC7[[#This Row],[2021 Claims: Pharmacy (Gross of  Rebates)]]-1),"NA")</f>
        <v>NA</v>
      </c>
      <c r="AM141" s="162" t="str">
        <f>IFERROR(IF(ValbyACO_ICC7[[#This Row],[2021 Member Months]]=0,"NA",ValbyACO_ICC7[[#This Row],[2022 Claims: Long-term Care]]/ValbyACO_ICC7[[#This Row],[2021 Claims: Long-term Care]]-1),"NA")</f>
        <v>NA</v>
      </c>
      <c r="AN141" s="162" t="str">
        <f>IFERROR(IF(ValbyACO_ICC7[[#This Row],[2021 Member Months]]=0,"NA",ValbyACO_ICC7[[#This Row],[2022 Claims: Other]]/ValbyACO_ICC7[[#This Row],[2021 Claims: Other]]-1),"NA")</f>
        <v>NA</v>
      </c>
      <c r="AO141" s="163" t="str">
        <f>IFERROR(IF(ValbyACO_ICC7[[#This Row],[2021 Member Months]]=0,"NA",ValbyACO_ICC7[[#This Row],[2022 TOTAL Non-Truncated Claims Expenses]]/ValbyACO_ICC7[[#This Row],[2021 TOTAL Non-Truncated Claims Expenses]]-1),"NA")</f>
        <v>NA</v>
      </c>
      <c r="AP141" s="163" t="str">
        <f>IFERROR(IF(ValbyACO_ICC7[[#This Row],[2021 Member Months]]=0,"NA",ValbyACO_ICC7[[#This Row],[2022 TOTAL Truncated Claims Expenses]]/ValbyACO_ICC7[[#This Row],[2021 TOTAL Truncated Claims Expenses]]-1),"NA")</f>
        <v>NA</v>
      </c>
      <c r="AQ141" s="163" t="str">
        <f>IFERROR(IF(ValbyACO_ICC7[[#This Row],[2021 Member Months]]=0,"NA",ValbyACO_ICC7[[#This Row],[2022 TOTAL Non-Claims Expenses]]/ValbyACO_ICC7[[#This Row],[2021 TOTAL Non-Claims Expenses]]-1),"NA")</f>
        <v>NA</v>
      </c>
      <c r="AR141" s="163" t="str">
        <f>IFERROR(IF(ValbyACO_ICC7[[#This Row],[2021 Member Months]]=0,"NA",ValbyACO_ICC7[[#This Row],[2022 TOTAL Non-Truncated Total Expenses]]/ValbyACO_ICC7[[#This Row],[2021 TOTAL Non-Truncated Total Expenses]]-1),"NA")</f>
        <v>NA</v>
      </c>
      <c r="AS141" s="163" t="str">
        <f>IFERROR(IF(ValbyACO_ICC7[[#This Row],[2021 Member Months]]=0,"NA",ValbyACO_ICC7[[#This Row],[2022 TOTAL Truncated Total Expenses]]/ValbyACO_ICC7[[#This Row],[2021 TOTAL Truncated Total Expenses]]-1),"NA")</f>
        <v>NA</v>
      </c>
    </row>
    <row r="142" spans="1:45" x14ac:dyDescent="0.35">
      <c r="A142" s="129"/>
      <c r="B142" s="250">
        <v>999</v>
      </c>
      <c r="C142" s="291" t="s">
        <v>172</v>
      </c>
      <c r="D142" s="120">
        <f>SUMIFS(ACOAETME2021[[#All],[Member Months]], ACOAETME2021[[#All],[Insurance Category Code]], $E$132, ACOAETME2021[[#All],[ACO/AE or Insurer Overall Organization ID]], ValbyACO_ICC7[[#This Row],[Org ID]])</f>
        <v>0</v>
      </c>
      <c r="E142" s="268" t="str">
        <f>IFERROR(IF(ValbyACO_ICC7[[#This Row],[2021 Member Months]]=0,"NA",SUMIFS(ACOAETME2021[[#All],[Claims: Hospital Inpatient]], ACOAETME2021[[#All],[Insurance Category Code]], $E$132, ACOAETME2021[[#All],[ACO/AE or Insurer Overall Organization ID]], ValbyACO_ICC7[[#This Row],[Org ID]])/ValbyACO_ICC7[[#This Row],[2021 Member Months]]), "NA")</f>
        <v>NA</v>
      </c>
      <c r="F142" s="341" t="str">
        <f>IFERROR(IF(ValbyACO_ICC7[[#This Row],[2021 Member Months]]=0,"NA",SUMIFS(ACOAETME2021[[#All],[Claims: Hospital Outpatient]], ACOAETME2021[[#All],[Insurance Category Code]], $E$132, ACOAETME2021[[#All],[ACO/AE or Insurer Overall Organization ID]], ValbyACO_ICC7[[#This Row],[Org ID]])/ValbyACO_ICC7[[#This Row],[2021 Member Months]]), "NA")</f>
        <v>NA</v>
      </c>
      <c r="G142" s="341" t="str">
        <f>IFERROR(IF(ValbyACO_ICC7[[#This Row],[2021 Member Months]]=0,"NA",SUMIFS(ACOAETME2021[[#All],[Claims: Professional, Primary Care]], ACOAETME2021[[#All],[Insurance Category Code]], $E$132, ACOAETME2021[[#All],[ACO/AE or Insurer Overall Organization ID]], ValbyACO_ICC7[[#This Row],[Org ID]])/ValbyACO_ICC7[[#This Row],[2021 Member Months]]), "NA")</f>
        <v>NA</v>
      </c>
      <c r="H142" s="341" t="str">
        <f>IFERROR(IF(ValbyACO_ICC7[[#This Row],[2021 Member Months]]=0,"NA",SUMIFS(ACOAETME2021[[#All],[Claims: Professional, Specialty Care]], ACOAETME2021[[#All],[Insurance Category Code]], $E$132, ACOAETME2021[[#All],[ACO/AE or Insurer Overall Organization ID]], ValbyACO_ICC7[[#This Row],[Org ID]])/ValbyACO_ICC7[[#This Row],[2021 Member Months]]), "NA")</f>
        <v>NA</v>
      </c>
      <c r="I142" s="341" t="str">
        <f>IFERROR(IF(ValbyACO_ICC7[[#This Row],[2021 Member Months]]=0,"NA",SUMIFS(ACOAETME2021[[#All],[Claims: Professional Other]], ACOAETME2021[[#All],[Insurance Category Code]], $E$132, ACOAETME2021[[#All],[ACO/AE or Insurer Overall Organization ID]], ValbyACO_ICC7[[#This Row],[Org ID]])/ValbyACO_ICC7[[#This Row],[2021 Member Months]]), "NA")</f>
        <v>NA</v>
      </c>
      <c r="J142" s="341" t="str">
        <f>IFERROR(IF(ValbyACO_ICC7[[#This Row],[2021 Member Months]]=0,"NA",SUMIFS(ACOAETME2021[[#All],[Claims: Pharmacy]], ACOAETME2021[[#All],[Insurance Category Code]], $E$132, ACOAETME2021[[#All],[ACO/AE or Insurer Overall Organization ID]], ValbyACO_ICC7[[#This Row],[Org ID]])/ValbyACO_ICC7[[#This Row],[2021 Member Months]]), "NA")</f>
        <v>NA</v>
      </c>
      <c r="K142" s="341" t="str">
        <f>IFERROR(IF(ValbyACO_ICC7[[#This Row],[2021 Member Months]]=0,"NA",SUMIFS(ACOAETME2021[[#All],[Claims: Long-Term Care]], ACOAETME2021[[#All],[Insurance Category Code]], $E$132, ACOAETME2021[[#All],[ACO/AE or Insurer Overall Organization ID]], ValbyACO_ICC7[[#This Row],[Org ID]])/ValbyACO_ICC7[[#This Row],[2021 Member Months]]), "NA")</f>
        <v>NA</v>
      </c>
      <c r="L142" s="341" t="str">
        <f>IFERROR(IF(ValbyACO_ICC7[[#This Row],[2021 Member Months]]=0,"NA",SUMIFS(ACOAETME2021[[#All],[Claims: Other]], ACOAETME2021[[#All],[Insurance Category Code]], $E$132, ACOAETME2021[[#All],[ACO/AE or Insurer Overall Organization ID]], ValbyACO_ICC7[[#This Row],[Org ID]])/ValbyACO_ICC7[[#This Row],[2021 Member Months]]), "NA")</f>
        <v>NA</v>
      </c>
      <c r="M142" s="130" t="str">
        <f>IF(ValbyACO_ICC7[[#This Row],[2021 Member Months]]=0,"NA",SUMIFS(ACOAETME2021[[#All],[TOTAL Non-Truncated Unadjusted Claims Expenses]], ACOAETME2021[[#All],[Insurance Category Code]], $E$132, ACOAETME2021[[#All],[ACO/AE or Insurer Overall Organization ID]], ValbyACO_ICC7[[#This Row],[Org ID]])/ValbyACO_ICC7[[#This Row],[2021 Member Months]])</f>
        <v>NA</v>
      </c>
      <c r="N142" s="130" t="str">
        <f>IF(ValbyACO_ICC7[[#This Row],[2021 Member Months]]=0,"NA",SUMIFS(ACOAETME2021[[#All],[TOTAL Truncated Unadjusted Claims Expenses (A19 - A17)]], ACOAETME2021[[#All],[Insurance Category Code]], $E$132, ACOAETME2021[[#All],[ACO/AE or Insurer Overall Organization ID]], ValbyACO_ICC7[[#This Row],[Org ID]])/ValbyACO_ICC7[[#This Row],[2021 Member Months]])</f>
        <v>NA</v>
      </c>
      <c r="O142" s="130" t="str">
        <f>IF(ValbyACO_ICC7[[#This Row],[2021 Member Months]]=0,"NA",SUMIFS(ACOAETME2021[[#All],[TOTAL Non-Claims Expenses]], ACOAETME2021[[#All],[Insurance Category Code]], $E$132, ACOAETME2021[[#All],[ACO/AE or Insurer Overall Organization ID]], ValbyACO_ICC7[[#This Row],[Org ID]])/ValbyACO_ICC7[[#This Row],[2021 Member Months]])</f>
        <v>NA</v>
      </c>
      <c r="P142" s="288" t="str">
        <f>IF(ValbyACO_ICC7[[#This Row],[2021 Member Months]]=0, "NA", SUMIFS(ACOAETME2021[[#All],[TOTAL Non-Truncated Unadjusted Expenses 
(A19+A21)]], ACOAETME2021[Insurance Category Code], $E$132, ACOAETME2021[ACO/AE or Insurer Overall Organization ID], ValbyACO_ICC7[[#This Row],[Org ID]])/ValbyACO_ICC7[[#This Row],[2021 Member Months]])</f>
        <v>NA</v>
      </c>
      <c r="Q142" s="119" t="str">
        <f>IF(ValbyACO_ICC7[[#This Row],[2021 Member Months]]=0, "NA", SUMIFS(ACOAETME2021[[#All],[TOTAL Truncated Unadjusted Expenses (A20+A21)]], ACOAETME2021[[#All],[Insurance Category Code]], $E$132, ACOAETME2021[[#All],[ACO/AE or Insurer Overall Organization ID]], ValbyACO_ICC7[[#This Row],[Org ID]])/ValbyACO_ICC7[[#This Row],[2021 Member Months]])</f>
        <v>NA</v>
      </c>
      <c r="R142" s="120">
        <f>SUMIFS(ACOAETME2022[[#All],[Member Months]],ACOAETME2022[[#All],[Insurance Category Code]], $E$132,ACOAETME2022[[#All],[ACO/AE or Insurer Overall Organization ID]],ValbyACO_ICC7[[#This Row],[Org ID]])</f>
        <v>0</v>
      </c>
      <c r="S142" s="118" t="str">
        <f>IF(ValbyACO_ICC7[[#This Row],[2022 Member Months]]=0,"NA",SUMIFS(ACOAETME2022[[#All],[Claims: Hospital Inpatient]],ACOAETME2022[[#All],[Insurance Category Code]], $E$132,ACOAETME2022[[#All],[ACO/AE or Insurer Overall Organization ID]],ValbyACO_ICC7[[#This Row],[Org ID]])/ValbyACO_ICC7[[#This Row],[2022 Member Months]])</f>
        <v>NA</v>
      </c>
      <c r="T142" s="88" t="str">
        <f>IF(ValbyACO_ICC7[[#This Row],[2022 Member Months]]=0,"NA",SUMIFS(ACOAETME2022[[#All],[Claims: Hospital Outpatient]],ACOAETME2022[[#All],[Insurance Category Code]], $E$132,ACOAETME2022[[#All],[ACO/AE or Insurer Overall Organization ID]],ValbyACO_ICC7[[#This Row],[Org ID]])/ValbyACO_ICC7[[#This Row],[2022 Member Months]])</f>
        <v>NA</v>
      </c>
      <c r="U142" s="88" t="str">
        <f>IF(ValbyACO_ICC7[[#This Row],[2022 Member Months]]=0,"NA",SUMIFS(ACOAETME2022[[#All],[Claims: Professional, Primary Care]],ACOAETME2022[[#All],[Insurance Category Code]], $E$132,ACOAETME2022[[#All],[ACO/AE or Insurer Overall Organization ID]],ValbyACO_ICC7[[#This Row],[Org ID]])/ValbyACO_ICC7[[#This Row],[2022 Member Months]])</f>
        <v>NA</v>
      </c>
      <c r="V142" s="88" t="str">
        <f>IF(ValbyACO_ICC7[[#This Row],[2022 Member Months]]=0,"NA",SUMIFS(ACOAETME2022[[#All],[Claims: Professional, Specialty Care]],ACOAETME2022[[#All],[Insurance Category Code]], $E$132,ACOAETME2022[[#All],[ACO/AE or Insurer Overall Organization ID]],ValbyACO_ICC7[[#This Row],[Org ID]])/ValbyACO_ICC7[[#This Row],[2022 Member Months]])</f>
        <v>NA</v>
      </c>
      <c r="W142" s="88" t="str">
        <f>IF(ValbyACO_ICC7[[#This Row],[2022 Member Months]]=0,"NA",SUMIFS(ACOAETME2022[[#All],[Claims: Professional Other]],ACOAETME2022[[#All],[Insurance Category Code]], $E$132,ACOAETME2022[[#All],[ACO/AE or Insurer Overall Organization ID]],ValbyACO_ICC7[[#This Row],[Org ID]])/ValbyACO_ICC7[[#This Row],[2022 Member Months]])</f>
        <v>NA</v>
      </c>
      <c r="X142" s="88" t="str">
        <f>IF(ValbyACO_ICC7[[#This Row],[2022 Member Months]]=0,"NA",SUMIFS(ACOAETME2022[[#All],[Claims: Pharmacy]],ACOAETME2022[[#All],[Insurance Category Code]], $E$132,ACOAETME2022[[#All],[ACO/AE or Insurer Overall Organization ID]],ValbyACO_ICC7[[#This Row],[Org ID]])/ValbyACO_ICC7[[#This Row],[2022 Member Months]])</f>
        <v>NA</v>
      </c>
      <c r="Y142" s="88" t="str">
        <f>IF(ValbyACO_ICC7[[#This Row],[2022 Member Months]]=0,"NA",SUMIFS(ACOAETME2022[[#All],[Claims: Long-Term Care]],ACOAETME2022[[#All],[Insurance Category Code]], $E$132,ACOAETME2022[[#All],[ACO/AE or Insurer Overall Organization ID]],ValbyACO_ICC7[[#This Row],[Org ID]])/ValbyACO_ICC7[[#This Row],[2022 Member Months]])</f>
        <v>NA</v>
      </c>
      <c r="Z142" s="88" t="str">
        <f>IF(ValbyACO_ICC7[[#This Row],[2022 Member Months]]=0,"NA",SUMIFS(ACOAETME2022[[#All],[Claims: Other]],ACOAETME2022[[#All],[Insurance Category Code]], $E$132,ACOAETME2022[[#All],[ACO/AE or Insurer Overall Organization ID]],ValbyACO_ICC7[[#This Row],[Org ID]])/ValbyACO_ICC7[[#This Row],[2022 Member Months]])</f>
        <v>NA</v>
      </c>
      <c r="AA142" s="130" t="str">
        <f>IF(ValbyACO_ICC7[[#This Row],[2022 Member Months]]=0,"NA",SUMIFS(ACOAETME2022[[#All],[TOTAL Non-Truncated Unadjusted Claims Expenses]],ACOAETME2022[[#All],[Insurance Category Code]], $E$132,ACOAETME2022[[#All],[ACO/AE or Insurer Overall Organization ID]],ValbyACO_ICC7[[#This Row],[Org ID]])/ValbyACO_ICC7[[#This Row],[2022 Member Months]])</f>
        <v>NA</v>
      </c>
      <c r="AB142" s="130" t="str">
        <f>IF(ValbyACO_ICC7[[#This Row],[2022 Member Months]]=0,"NA",SUMIFS(ACOAETME2022[[#All],[TOTAL Truncated Unadjusted Expenses (A20+A21)]],ACOAETME2022[[#All],[Insurance Category Code]], $E$132,ACOAETME2022[[#All],[ACO/AE or Insurer Overall Organization ID]],ValbyACO_ICC7[[#This Row],[Org ID]])/ValbyACO_ICC7[[#This Row],[2022 Member Months]])</f>
        <v>NA</v>
      </c>
      <c r="AC142" s="130" t="str">
        <f>IF(ValbyACO_ICC7[[#This Row],[2022 Member Months]]=0,"NA",SUMIFS(ACOAETME2022[[#All],[TOTAL Non-Claims Expenses]],ACOAETME2022[[#All],[Insurance Category Code]], $E$132,ACOAETME2022[[#All],[ACO/AE or Insurer Overall Organization ID]],ValbyACO_ICC7[[#This Row],[Org ID]])/ValbyACO_ICC7[[#This Row],[2022 Member Months]])</f>
        <v>NA</v>
      </c>
      <c r="AD142" s="288" t="str">
        <f>IF(ValbyACO_ICC7[[#This Row],[2022 Member Months]]=0,"NA",SUMIFS(ACOAETME2022[[#All],[TOTAL Non-Truncated Unadjusted Expenses 
(A19+A21)]],ACOAETME2022[[#All],[Insurance Category Code]], $E$132,ACOAETME2022[[#All],[ACO/AE or Insurer Overall Organization ID]],ValbyACO_ICC7[[#This Row],[Org ID]])/ValbyACO_ICC7[[#This Row],[2022 Member Months]])</f>
        <v>NA</v>
      </c>
      <c r="AE142" s="119" t="str">
        <f>IF(ValbyACO_ICC7[[#This Row],[2022 Member Months]]=0,"NA",SUMIFS(ACOAETME2022[[#All],[TOTAL Truncated Unadjusted Expenses (A20+A21)]],ACOAETME2022[[#All],[Insurance Category Code]],$E$132,ACOAETME2022[[#All],[ACO/AE or Insurer Overall Organization ID]],ValbyACO_ICC7[[#This Row],[Org ID]])/ValbyACO_ICC7[[#This Row],[2022 Member Months]])</f>
        <v>NA</v>
      </c>
      <c r="AF142" s="161" t="str">
        <f>IFERROR(IF(ValbyACO_ICC7[[#This Row],[2021 Member Months]]=0,"NA",ValbyACO_ICC7[[#This Row],[2022 Member Months]]/ValbyACO_ICC7[[#This Row],[2021 Member Months]]-1),"NA")</f>
        <v>NA</v>
      </c>
      <c r="AG142" s="161" t="str">
        <f>IFERROR(IF(ValbyACO_ICC7[[#This Row],[2021 Member Months]]=0,"NA",ValbyACO_ICC7[[#This Row],[2022 Claims: Hospital Inpatient]]/ValbyACO_ICC7[[#This Row],[2021 Claims: Hospital Inpatient]]-1),"NA")</f>
        <v>NA</v>
      </c>
      <c r="AH142" s="162" t="str">
        <f>IFERROR(IF(ValbyACO_ICC7[[#This Row],[2021 Member Months]]=0,"NA",ValbyACO_ICC7[[#This Row],[2022 Claims: Hospital Outpatient]]/ValbyACO_ICC7[[#This Row],[2021 Claims: Hospital Outpatient]]-1),"NA")</f>
        <v>NA</v>
      </c>
      <c r="AI142" s="162" t="str">
        <f>IFERROR(IF(ValbyACO_ICC7[[#This Row],[2021 Member Months]]=0,"NA",ValbyACO_ICC7[[#This Row],[2022 Claims: Professional, Primary Care]]/ValbyACO_ICC7[[#This Row],[2021 Claims: Professional, Primary Care]]-1),"NA")</f>
        <v>NA</v>
      </c>
      <c r="AJ142" s="162" t="str">
        <f>IFERROR(IF(ValbyACO_ICC7[[#This Row],[2021 Member Months]]=0,"NA",ValbyACO_ICC7[[#This Row],[2022 Claims: Professional, Specialty Care]]/ValbyACO_ICC7[[#This Row],[2021 Claims: Professional, Specialty Care]]-1),"NA")</f>
        <v>NA</v>
      </c>
      <c r="AK142" s="162" t="str">
        <f>IFERROR(IF(ValbyACO_ICC7[[#This Row],[2021 Member Months]]=0,"NA", ValbyACO_ICC7[[#This Row],[2022 Claims: Professional Other]]/ValbyACO_ICC7[[#This Row],[2021 Claims: Professional Other]]-1),"NA")</f>
        <v>NA</v>
      </c>
      <c r="AL142" s="162" t="str">
        <f>IFERROR(IF(ValbyACO_ICC7[[#This Row],[2021 Member Months]]=0,"NA",ValbyACO_ICC7[[#This Row],[2022 Claims: Pharmacy (Gross of Retail Pharmacy Rebates)]]/ValbyACO_ICC7[[#This Row],[2021 Claims: Pharmacy (Gross of  Rebates)]]-1),"NA")</f>
        <v>NA</v>
      </c>
      <c r="AM142" s="162" t="str">
        <f>IFERROR(IF(ValbyACO_ICC7[[#This Row],[2021 Member Months]]=0,"NA",ValbyACO_ICC7[[#This Row],[2022 Claims: Long-term Care]]/ValbyACO_ICC7[[#This Row],[2021 Claims: Long-term Care]]-1),"NA")</f>
        <v>NA</v>
      </c>
      <c r="AN142" s="162" t="str">
        <f>IFERROR(IF(ValbyACO_ICC7[[#This Row],[2021 Member Months]]=0,"NA",ValbyACO_ICC7[[#This Row],[2022 Claims: Other]]/ValbyACO_ICC7[[#This Row],[2021 Claims: Other]]-1),"NA")</f>
        <v>NA</v>
      </c>
      <c r="AO142" s="163" t="str">
        <f>IFERROR(IF(ValbyACO_ICC7[[#This Row],[2021 Member Months]]=0,"NA",ValbyACO_ICC7[[#This Row],[2022 TOTAL Non-Truncated Claims Expenses]]/ValbyACO_ICC7[[#This Row],[2021 TOTAL Non-Truncated Claims Expenses]]-1),"NA")</f>
        <v>NA</v>
      </c>
      <c r="AP142" s="163" t="str">
        <f>IFERROR(IF(ValbyACO_ICC7[[#This Row],[2021 Member Months]]=0,"NA",ValbyACO_ICC7[[#This Row],[2022 TOTAL Truncated Claims Expenses]]/ValbyACO_ICC7[[#This Row],[2021 TOTAL Truncated Claims Expenses]]-1),"NA")</f>
        <v>NA</v>
      </c>
      <c r="AQ142" s="163" t="str">
        <f>IFERROR(IF(ValbyACO_ICC7[[#This Row],[2021 Member Months]]=0,"NA",ValbyACO_ICC7[[#This Row],[2022 TOTAL Non-Claims Expenses]]/ValbyACO_ICC7[[#This Row],[2021 TOTAL Non-Claims Expenses]]-1),"NA")</f>
        <v>NA</v>
      </c>
      <c r="AR142" s="163" t="str">
        <f>IFERROR(IF(ValbyACO_ICC7[[#This Row],[2021 Member Months]]=0,"NA",ValbyACO_ICC7[[#This Row],[2022 TOTAL Non-Truncated Total Expenses]]/ValbyACO_ICC7[[#This Row],[2021 TOTAL Non-Truncated Total Expenses]]-1),"NA")</f>
        <v>NA</v>
      </c>
      <c r="AS142" s="163" t="str">
        <f>IFERROR(IF(ValbyACO_ICC7[[#This Row],[2021 Member Months]]=0,"NA",ValbyACO_ICC7[[#This Row],[2022 TOTAL Truncated Total Expenses]]/ValbyACO_ICC7[[#This Row],[2021 TOTAL Truncated Total Expenses]]-1),"NA")</f>
        <v>NA</v>
      </c>
    </row>
    <row r="143" spans="1:45" x14ac:dyDescent="0.35">
      <c r="B143" s="251"/>
      <c r="C143" s="292" t="s">
        <v>118</v>
      </c>
      <c r="D143" s="121">
        <f>SUM(D134:D142)</f>
        <v>0</v>
      </c>
      <c r="E143" s="269" t="str">
        <f>IF(ValbyACO_ICC7[[#This Row],[2021 Member Months]]=0,"NA",SUMPRODUCT(E134:E142,D134:D142)/ValbyACO_ICC7[[#This Row],[2021 Member Months]])</f>
        <v>NA</v>
      </c>
      <c r="F143" s="315" t="str">
        <f>IF(ValbyACO_ICC7[[#This Row],[2021 Member Months]]=0,"NA",SUMPRODUCT(F134:F142,D134:D142)/ValbyACO_ICC7[[#This Row],[2021 Member Months]])</f>
        <v>NA</v>
      </c>
      <c r="G143" s="315" t="str">
        <f>IF(ValbyACO_ICC7[[#This Row],[2021 Member Months]]=0,"NA",SUMPRODUCT(G134:G142,D134:D142)/ValbyACO_ICC7[[#This Row],[2021 Member Months]])</f>
        <v>NA</v>
      </c>
      <c r="H143" s="315" t="str">
        <f>IF(ValbyACO_ICC7[[#This Row],[2021 Member Months]]=0,"NA",SUMPRODUCT(H134:H142,D134:D142)/ValbyACO_ICC7[[#This Row],[2021 Member Months]])</f>
        <v>NA</v>
      </c>
      <c r="I143" s="315" t="str">
        <f>IF(ValbyACO_ICC7[[#This Row],[2021 Member Months]]=0,"NA",SUMPRODUCT(I134:I142,D134:D142)/ValbyACO_ICC7[[#This Row],[2021 Member Months]])</f>
        <v>NA</v>
      </c>
      <c r="J143" s="315" t="str">
        <f>IF(ValbyACO_ICC7[[#This Row],[2021 Member Months]]=0,"NA",SUMPRODUCT(J134:J142,D134:D142)/ValbyACO_ICC7[[#This Row],[2021 Member Months]])</f>
        <v>NA</v>
      </c>
      <c r="K143" s="315" t="str">
        <f>IF(ValbyACO_ICC7[[#This Row],[2021 Member Months]]=0,"NA",SUMPRODUCT(K134:K142,D134:D142)/ValbyACO_ICC7[[#This Row],[2021 Member Months]])</f>
        <v>NA</v>
      </c>
      <c r="L143" s="315" t="str">
        <f>IF(ValbyACO_ICC7[[#This Row],[2021 Member Months]]=0,"NA",SUMPRODUCT(L134:L142,D134:D142)/ValbyACO_ICC7[[#This Row],[2021 Member Months]])</f>
        <v>NA</v>
      </c>
      <c r="M143" s="124" t="str">
        <f>IF(ValbyACO_ICC7[[#This Row],[2021 Member Months]]=0,"NA",SUMPRODUCT(M134:M142,D134:D142)/ValbyACO_ICC7[[#This Row],[2021 Member Months]])</f>
        <v>NA</v>
      </c>
      <c r="N143" s="124" t="str">
        <f>IF(ValbyACO_ICC7[[#This Row],[2021 Member Months]]=0,"NA",SUMPRODUCT(N134:N142,D134:D142)/ValbyACO_ICC7[[#This Row],[2021 Member Months]])</f>
        <v>NA</v>
      </c>
      <c r="O143" s="124" t="str">
        <f>IF(ValbyACO_ICC7[[#This Row],[2021 Member Months]]=0,"NA",SUMPRODUCT(O134:O142,D134:D142)/ValbyACO_ICC7[[#This Row],[2021 Member Months]])</f>
        <v>NA</v>
      </c>
      <c r="P143" s="124" t="str">
        <f>IF(ValbyACO_ICC7[[#This Row],[2021 Member Months]]=0,"NA",SUMPRODUCT(P134:P142,D134:D142)/ValbyACO_ICC7[[#This Row],[2021 Member Months]])</f>
        <v>NA</v>
      </c>
      <c r="Q143" s="124" t="str">
        <f>IF(ValbyACO_ICC7[[#This Row],[2021 Member Months]]=0,"NA",SUMPRODUCT(Q134:Q142,D134:D142)/ValbyACO_ICC7[[#This Row],[2021 Member Months]])</f>
        <v>NA</v>
      </c>
      <c r="R143" s="121">
        <f>SUM(R134:R142)</f>
        <v>0</v>
      </c>
      <c r="S143" s="123" t="str">
        <f>IF(R143=0,"NA",SUMPRODUCT(S134:S142,R134:R142)/R143)</f>
        <v>NA</v>
      </c>
      <c r="T143" s="89" t="str">
        <f>IF(R143=0,"NA",SUMPRODUCT(T134:T142,R134:R142)/R143)</f>
        <v>NA</v>
      </c>
      <c r="U143" s="89" t="str">
        <f>IF(R143=0,"NA",SUMPRODUCT(U134:U142,R134:R142)/R143)</f>
        <v>NA</v>
      </c>
      <c r="V143" s="89" t="str">
        <f>IF(R143=0,"NA",SUMPRODUCT(V134:V142,R134:R142)/R143)</f>
        <v>NA</v>
      </c>
      <c r="W143" s="89" t="str">
        <f>IF(R143=0,"NA",SUMPRODUCT(W134:W142,R134:R142)/R143)</f>
        <v>NA</v>
      </c>
      <c r="X143" s="89" t="str">
        <f>IF(ValbyACO_ICC7[[#This Row],[2022 Member Months]]=0,"NA",SUMPRODUCT(X134:X142,R134:R142)/ValbyACO_ICC7[[#This Row],[2022 Member Months]])</f>
        <v>NA</v>
      </c>
      <c r="Y143" s="89" t="str">
        <f>IF(R143=0,"NA",SUMPRODUCT(Y134:Y142,R134:R142)/R143)</f>
        <v>NA</v>
      </c>
      <c r="Z143" s="89" t="str">
        <f>IF(R143=0,"NA",SUMPRODUCT(Z134:Z142,R134:R142)/R143)</f>
        <v>NA</v>
      </c>
      <c r="AA143" s="124" t="str">
        <f>IF(ValbyACO_ICC7[[#This Row],[2022 Member Months]]=0,"NA",SUMPRODUCT(AA134:AA142,R134:R142)/ValbyACO_ICC7[[#This Row],[2022 Member Months]])</f>
        <v>NA</v>
      </c>
      <c r="AB143" s="124" t="str">
        <f>IF(ValbyACO_ICC7[[#This Row],[2022 Member Months]]=0,"NA",SUMPRODUCT(AB134:AB142,R134:R142)/ValbyACO_ICC7[[#This Row],[2022 Member Months]])</f>
        <v>NA</v>
      </c>
      <c r="AC143" s="124" t="str">
        <f>IF(ValbyACO_ICC7[[#This Row],[2022 Member Months]]=0,"NA",SUMPRODUCT(AC134:AC142,R134:R142)/ValbyACO_ICC7[[#This Row],[2022 Member Months]])</f>
        <v>NA</v>
      </c>
      <c r="AD143" s="124" t="str">
        <f>IF(ValbyACO_ICC7[[#This Row],[2022 Member Months]]=0,"NA",SUMPRODUCT(AD134:AD142,R134:R142)/ValbyACO_ICC7[[#This Row],[2022 Member Months]])</f>
        <v>NA</v>
      </c>
      <c r="AE143" s="125" t="str">
        <f>IF(ValbyACO_ICC7[[#This Row],[2022 Member Months]]=0,"NA",SUMPRODUCT(AE134:AE142,R134:R142)/ValbyACO_ICC7[[#This Row],[2022 Member Months]])</f>
        <v>NA</v>
      </c>
      <c r="AF143" s="161" t="str">
        <f>IFERROR(IF(ValbyACO_ICC7[[#This Row],[2021 Member Months]]=0,"NA",ValbyACO_ICC7[[#This Row],[2022 Member Months]]/ValbyACO_ICC7[[#This Row],[2021 Member Months]]-1),"NA")</f>
        <v>NA</v>
      </c>
      <c r="AG143" s="166" t="str">
        <f t="shared" ref="AG143" si="16">IFERROR(IF($D143=0,"NA",S143/E143-1),"NA")</f>
        <v>NA</v>
      </c>
      <c r="AH143" s="167" t="str">
        <f t="shared" ref="AH143" si="17">IFERROR(IF($D143=0,"NA",T143/F143-1),"NA")</f>
        <v>NA</v>
      </c>
      <c r="AI143" s="167" t="str">
        <f t="shared" ref="AI143" si="18">IFERROR(IF($D143=0,"NA",U143/G143-1),"NA")</f>
        <v>NA</v>
      </c>
      <c r="AJ143" s="167" t="str">
        <f t="shared" ref="AJ143" si="19">IFERROR(IF($D143=0,"NA",V143/H143-1),"NA")</f>
        <v>NA</v>
      </c>
      <c r="AK143" s="167" t="str">
        <f t="shared" ref="AK143" si="20">IFERROR(IF($D143=0,"NA",W143/I143-1),"NA")</f>
        <v>NA</v>
      </c>
      <c r="AL143" s="162" t="str">
        <f>IFERROR(IF(ValbyACO_ICC7[[#This Row],[2021 Member Months]]=0,"NA",ValbyACO_ICC7[[#This Row],[2022 Claims: Pharmacy (Gross of Retail Pharmacy Rebates)]]/ValbyACO_ICC7[[#This Row],[2021 Claims: Pharmacy (Gross of  Rebates)]]-1),"NA")</f>
        <v>NA</v>
      </c>
      <c r="AM143" s="167" t="str">
        <f t="shared" ref="AM143" si="21">IFERROR(IF($D143=0,"NA",Y143/K143-1),"NA")</f>
        <v>NA</v>
      </c>
      <c r="AN143" s="167" t="str">
        <f t="shared" ref="AN143" si="22">IFERROR(IF($D143=0,"NA",Z143/L143-1),"NA")</f>
        <v>NA</v>
      </c>
      <c r="AO143" s="163" t="str">
        <f>IFERROR(IF(ValbyACO_ICC7[[#This Row],[2021 Member Months]]=0,"NA",ValbyACO_ICC7[[#This Row],[2022 TOTAL Non-Truncated Claims Expenses]]/ValbyACO_ICC7[[#This Row],[2021 TOTAL Non-Truncated Claims Expenses]]-1),"NA")</f>
        <v>NA</v>
      </c>
      <c r="AP143" s="163" t="str">
        <f>IFERROR(IF(ValbyACO_ICC7[[#This Row],[2021 Member Months]]=0,"NA",ValbyACO_ICC7[[#This Row],[2022 TOTAL Truncated Claims Expenses]]/ValbyACO_ICC7[[#This Row],[2021 TOTAL Truncated Claims Expenses]]-1),"NA")</f>
        <v>NA</v>
      </c>
      <c r="AQ143" s="163" t="str">
        <f>IFERROR(IF(ValbyACO_ICC7[[#This Row],[2021 Member Months]]=0,"NA",ValbyACO_ICC7[[#This Row],[2022 TOTAL Non-Claims Expenses]]/ValbyACO_ICC7[[#This Row],[2021 TOTAL Non-Claims Expenses]]-1),"NA")</f>
        <v>NA</v>
      </c>
      <c r="AR143" s="163" t="str">
        <f>IFERROR(IF(ValbyACO_ICC7[[#This Row],[2021 Member Months]]=0,"NA",ValbyACO_ICC7[[#This Row],[2022 TOTAL Non-Truncated Total Expenses]]/ValbyACO_ICC7[[#This Row],[2021 TOTAL Non-Truncated Total Expenses]]-1),"NA")</f>
        <v>NA</v>
      </c>
      <c r="AS143" s="163" t="str">
        <f>IFERROR(IF(ValbyACO_ICC7[[#This Row],[2021 Member Months]]=0,"NA",ValbyACO_ICC7[[#This Row],[2022 TOTAL Truncated Total Expenses]]/ValbyACO_ICC7[[#This Row],[2021 TOTAL Truncated Total Expenses]]-1),"NA")</f>
        <v>NA</v>
      </c>
    </row>
    <row r="144" spans="1:45" ht="15" thickBot="1" x14ac:dyDescent="0.4">
      <c r="B144" s="255"/>
      <c r="C144" s="293" t="s">
        <v>119</v>
      </c>
      <c r="D144" s="122">
        <f t="shared" ref="D144" si="23">D143</f>
        <v>0</v>
      </c>
      <c r="E144" s="344"/>
      <c r="F144" s="345"/>
      <c r="G144" s="345"/>
      <c r="H144" s="345"/>
      <c r="I144" s="345"/>
      <c r="J144" s="340" t="str">
        <f>IF(ValbyACO_ICC7[[#This Row],[2021 Member Months]]=0,"NA",(SUMPRODUCT(J134:J142,D134:D142)-ABS(SUMIF(RxRebates21[[#All],[Insurance Category Code]],$E$132,RxRebates21[[#All],[Retail Pharmacy Rebates]])))/ValbyACO_ICC7[[#This Row],[2021 Member Months]])</f>
        <v>NA</v>
      </c>
      <c r="K144" s="345"/>
      <c r="L144" s="345"/>
      <c r="M144" s="127" t="str">
        <f>IF(ValbyACO_ICC7[[#This Row],[2021 Member Months]]=0,"NA",(SUMPRODUCT(M134:M142,D134:D142)-ABS(SUMIF(RxRebates21[[#All],[Insurance Category Code]],$E$132,RxRebates21[[#All],[Total Pharmacy Rebates]])))/ValbyACO_ICC7[[#This Row],[2021 Member Months]])</f>
        <v>NA</v>
      </c>
      <c r="N144" s="127" t="str">
        <f>IF(ValbyACO_ICC7[[#This Row],[2021 Member Months]]=0,"NA",(SUMPRODUCT(N134:N142,D134:D142)-ABS(SUMIF(RxRebates21[[#All],[Insurance Category Code]],$E$132,RxRebates21[[#All],[Total Pharmacy Rebates]])))/ValbyACO_ICC7[[#This Row],[2021 Member Months]])</f>
        <v>NA</v>
      </c>
      <c r="O144" s="127" t="str">
        <f>IF(ValbyACO_ICC7[[#This Row],[2021 Member Months]]=0,"NA",(SUMPRODUCT(O134:O142,D134:D142)-ABS(SUMIF(RxRebates21[[#All],[Insurance Category Code]],$E$132,RxRebates21[[#All],[Total Pharmacy Rebates]])))/ValbyACO_ICC7[[#This Row],[2021 Member Months]])</f>
        <v>NA</v>
      </c>
      <c r="P144" s="127" t="str">
        <f>IF(ValbyACO_ICC7[[#This Row],[2021 Member Months]]=0,"NA",(SUMPRODUCT(P134:P142,D134:D142)-ABS(SUMIF(RxRebates21[[#All],[Insurance Category Code]],$E$132,RxRebates21[[#All],[Total Pharmacy Rebates]])))/ValbyACO_ICC7[[#This Row],[2021 Member Months]])</f>
        <v>NA</v>
      </c>
      <c r="Q144" s="127" t="str">
        <f>IF(ValbyACO_ICC7[[#This Row],[2021 Member Months]]=0,"NA",(SUMPRODUCT(Q134:Q142,D134:D142)-ABS(SUMIF(RxRebates21[[#All],[Insurance Category Code]],$E$132,RxRebates21[[#All],[Total Pharmacy Rebates]])))/ValbyACO_ICC7[[#This Row],[2021 Member Months]])</f>
        <v>NA</v>
      </c>
      <c r="R144" s="122">
        <f t="shared" ref="R144" si="24">R143</f>
        <v>0</v>
      </c>
      <c r="S144" s="346"/>
      <c r="T144" s="347"/>
      <c r="U144" s="347"/>
      <c r="V144" s="347"/>
      <c r="W144" s="347"/>
      <c r="X144" s="126" t="str">
        <f>IF(ValbyACO_ICC7[[#This Row],[2022 Member Months]]=0,"NA",(SUMPRODUCT(X134:X142,R134:R142)-ABS(SUMIF(RxRebates22[[#All],[Insurance Category Code]],$E$132,RxRebates22[[#All],[Retail Pharmacy Rebates]])))/ValbyACO_ICC7[[#This Row],[2022 Member Months]])</f>
        <v>NA</v>
      </c>
      <c r="Y144" s="347"/>
      <c r="Z144" s="347"/>
      <c r="AA144" s="127" t="str">
        <f>IF(ValbyACO_ICC7[[#This Row],[2022 Member Months]]=0,"NA",(SUMPRODUCT(AA134:AA142,R134:R142)-ABS(SUMIF(RxRebates22[[#All],[Insurance Category Code]],$E$132,RxRebates22[[#All],[Total Pharmacy Rebates]])))/ValbyACO_ICC7[[#This Row],[2022 Member Months]])</f>
        <v>NA</v>
      </c>
      <c r="AB144" s="127" t="str">
        <f>IF(ValbyACO_ICC7[[#This Row],[2022 Member Months]]=0,"NA",(SUMPRODUCT(AB134:AB142,R134:R142)-ABS(SUMIF(RxRebates22[[#All],[Insurance Category Code]],$E$132,RxRebates22[[#All],[Total Pharmacy Rebates]])))/ValbyACO_ICC7[[#This Row],[2022 Member Months]])</f>
        <v>NA</v>
      </c>
      <c r="AC144" s="127" t="str">
        <f>IF(ValbyACO_ICC7[[#This Row],[2022 Member Months]]=0,"NA",(SUMPRODUCT(AC134:AC142,R134:R142)-ABS(SUMIF(RxRebates22[[#All],[Insurance Category Code]],$E$132,RxRebates22[[#All],[Total Pharmacy Rebates]])))/ValbyACO_ICC7[[#This Row],[2022 Member Months]])</f>
        <v>NA</v>
      </c>
      <c r="AD144" s="127" t="str">
        <f>IF(ValbyACO_ICC7[[#This Row],[2022 Member Months]]=0,"NA",(SUMPRODUCT(AD134:AD142,R134:R142)-ABS(SUMIF(RxRebates22[[#All],[Insurance Category Code]],$E$132,RxRebates22[[#All],[Total Pharmacy Rebates]])))/ValbyACO_ICC7[[#This Row],[2022 Member Months]])</f>
        <v>NA</v>
      </c>
      <c r="AE144" s="128" t="str">
        <f>IF(ValbyACO_ICC7[[#This Row],[2022 Member Months]]=0,"NA",(SUMPRODUCT(AE134:AE142,R134:R142)-ABS(SUMIF(RxRebates22[[#All],[Insurance Category Code]],$E$132,RxRebates22[[#All],[Total Pharmacy Rebates]])))/ValbyACO_ICC7[[#This Row],[2022 Member Months]])</f>
        <v>NA</v>
      </c>
      <c r="AF144" s="161" t="str">
        <f>IFERROR(IF(ValbyACO_ICC7[[#This Row],[2021 Member Months]]=0,"NA",ValbyACO_ICC7[[#This Row],[2022 Member Months]]/ValbyACO_ICC7[[#This Row],[2021 Member Months]]-1),"NA")</f>
        <v>NA</v>
      </c>
      <c r="AG144" s="335"/>
      <c r="AH144" s="336"/>
      <c r="AI144" s="336"/>
      <c r="AJ144" s="336"/>
      <c r="AK144" s="336"/>
      <c r="AL144" s="162" t="str">
        <f>IFERROR(IF(ValbyACO_ICC7[[#This Row],[2021 Member Months]]=0,"NA",ValbyACO_ICC7[[#This Row],[2022 Claims: Pharmacy (Gross of Retail Pharmacy Rebates)]]/ValbyACO_ICC7[[#This Row],[2021 Claims: Pharmacy (Gross of  Rebates)]]-1),"NA")</f>
        <v>NA</v>
      </c>
      <c r="AM144" s="336"/>
      <c r="AN144" s="336"/>
      <c r="AO144" s="163" t="str">
        <f>IFERROR(IF(ValbyACO_ICC7[[#This Row],[2021 Member Months]]=0,"NA",ValbyACO_ICC7[[#This Row],[2022 TOTAL Non-Truncated Claims Expenses]]/ValbyACO_ICC7[[#This Row],[2021 TOTAL Non-Truncated Claims Expenses]]-1),"NA")</f>
        <v>NA</v>
      </c>
      <c r="AP144" s="163" t="str">
        <f>IFERROR(IF(ValbyACO_ICC7[[#This Row],[2021 Member Months]]=0,"NA",ValbyACO_ICC7[[#This Row],[2022 TOTAL Truncated Claims Expenses]]/ValbyACO_ICC7[[#This Row],[2021 TOTAL Truncated Claims Expenses]]-1),"NA")</f>
        <v>NA</v>
      </c>
      <c r="AQ144" s="163" t="str">
        <f>IFERROR(IF(ValbyACO_ICC7[[#This Row],[2021 Member Months]]=0,"NA",ValbyACO_ICC7[[#This Row],[2022 TOTAL Non-Claims Expenses]]/ValbyACO_ICC7[[#This Row],[2021 TOTAL Non-Claims Expenses]]-1),"NA")</f>
        <v>NA</v>
      </c>
      <c r="AR144" s="163" t="str">
        <f>IFERROR(IF(ValbyACO_ICC7[[#This Row],[2021 Member Months]]=0,"NA",ValbyACO_ICC7[[#This Row],[2022 TOTAL Non-Truncated Total Expenses]]/ValbyACO_ICC7[[#This Row],[2021 TOTAL Non-Truncated Total Expenses]]-1),"NA")</f>
        <v>NA</v>
      </c>
      <c r="AS144" s="163" t="str">
        <f>IFERROR(IF(ValbyACO_ICC7[[#This Row],[2021 Member Months]]=0,"NA",ValbyACO_ICC7[[#This Row],[2022 TOTAL Truncated Total Expenses]]/ValbyACO_ICC7[[#This Row],[2021 TOTAL Truncated Total Expenses]]-1),"NA")</f>
        <v>NA</v>
      </c>
    </row>
  </sheetData>
  <sheetProtection algorithmName="SHA-512" hashValue="Qiz3xJNj43hzYHe7beKGhkcW9B3KFp9fJRK4iKjVEBfndk4WAQyVo7vRr+/NIOd1f01p8aj0IJ3dwRJKd+vOJw==" saltValue="Uj+zSvQOCyp2hMRVk3UHCQ==" spinCount="100000" sheet="1" objects="1" scenarios="1"/>
  <phoneticPr fontId="21" type="noConversion"/>
  <pageMargins left="0.7" right="0.7" top="0.75" bottom="0.75" header="0.3" footer="0.3"/>
  <pageSetup orientation="portrait" horizontalDpi="1200" verticalDpi="1200" r:id="rId1"/>
  <tableParts count="10">
    <tablePart r:id="rId2"/>
    <tablePart r:id="rId3"/>
    <tablePart r:id="rId4"/>
    <tablePart r:id="rId5"/>
    <tablePart r:id="rId6"/>
    <tablePart r:id="rId7"/>
    <tablePart r:id="rId8"/>
    <tablePart r:id="rId9"/>
    <tablePart r:id="rId10"/>
    <tablePart r:id="rId1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6C224-A80D-44FE-9EED-5BB50F41B4CA}">
  <sheetPr codeName="Sheet6">
    <tabColor theme="9"/>
  </sheetPr>
  <dimension ref="B1:AG268"/>
  <sheetViews>
    <sheetView zoomScale="90" zoomScaleNormal="90" workbookViewId="0">
      <selection activeCell="A46" sqref="A46:XFD46"/>
    </sheetView>
  </sheetViews>
  <sheetFormatPr defaultRowHeight="14.5" x14ac:dyDescent="0.35"/>
  <cols>
    <col min="1" max="1" width="4.81640625" customWidth="1"/>
    <col min="2" max="2" width="34.1796875" customWidth="1"/>
    <col min="3" max="16" width="25.54296875" customWidth="1"/>
    <col min="17" max="17" width="40" customWidth="1"/>
    <col min="18" max="18" width="25.54296875" customWidth="1"/>
    <col min="19" max="30" width="19.26953125" customWidth="1"/>
    <col min="33" max="33" width="18.54296875" customWidth="1"/>
  </cols>
  <sheetData>
    <row r="1" spans="2:14" x14ac:dyDescent="0.35">
      <c r="B1" s="1" t="s">
        <v>0</v>
      </c>
      <c r="C1" s="19" t="s">
        <v>173</v>
      </c>
    </row>
    <row r="2" spans="2:14" x14ac:dyDescent="0.35">
      <c r="C2" s="20"/>
      <c r="D2" s="20"/>
    </row>
    <row r="3" spans="2:14" ht="15" thickBot="1" x14ac:dyDescent="0.4">
      <c r="C3" s="20"/>
      <c r="D3" s="20"/>
    </row>
    <row r="4" spans="2:14" ht="21.5" thickBot="1" x14ac:dyDescent="0.55000000000000004">
      <c r="B4" s="485" t="s">
        <v>731</v>
      </c>
      <c r="C4" s="477" t="s">
        <v>733</v>
      </c>
      <c r="D4" s="478" t="s">
        <v>734</v>
      </c>
    </row>
    <row r="5" spans="2:14" ht="43.5" x14ac:dyDescent="0.35">
      <c r="B5" s="487" t="s">
        <v>732</v>
      </c>
      <c r="C5" s="488">
        <f>IF(C1="Neighborhood*",COUNTIF(E51:E55,"&lt;&gt;Yes")+COUNTIF(G51:G55,"&lt;&gt;Yes")+COUNTIF(I51:I55, "&lt;&gt;Yes"),COUNTIF(E51:E55,"&lt;&gt;Yes")+COUNTIF(G51:G55,"&lt;&gt;Yes")+COUNTIF(I51:I53,"&lt;&gt;Yes")+COUNTIF(I55, "&lt;&gt;Yes"))</f>
        <v>0</v>
      </c>
      <c r="D5" s="489">
        <f>IF(C1="Neighborhood*",COUNTIF(E60:E64,"&lt;&gt;Yes")+COUNTIF(G60:G64,"&lt;&gt;Yes")+COUNTIF(I60:I64, "&lt;&gt;Yes"),COUNTIF(E60:E64,"&lt;&gt;Yes")+COUNTIF(G60:G64,"&lt;&gt;Yes")+COUNTIF(I60:I62,"&lt;&gt;Yes")+COUNTIF(I64, "&lt;&gt;Yes"))</f>
        <v>0</v>
      </c>
    </row>
    <row r="6" spans="2:14" ht="29" x14ac:dyDescent="0.35">
      <c r="B6" s="487" t="s">
        <v>735</v>
      </c>
      <c r="C6" s="490">
        <f>COUNTIF(E69:E75, "&lt;&gt;Yes")</f>
        <v>0</v>
      </c>
      <c r="D6" s="491">
        <f>COUNTIF(I69:I75, "&lt;&gt;Yes")</f>
        <v>0</v>
      </c>
    </row>
    <row r="7" spans="2:14" ht="44" thickBot="1" x14ac:dyDescent="0.4">
      <c r="B7" s="487" t="s">
        <v>736</v>
      </c>
      <c r="C7" s="492">
        <f>COUNTIF(C179:L179, "Yes")</f>
        <v>0</v>
      </c>
      <c r="D7" s="493">
        <f>COUNTIF(C193:L193, "Yes")</f>
        <v>0</v>
      </c>
    </row>
    <row r="8" spans="2:14" ht="15" thickBot="1" x14ac:dyDescent="0.4">
      <c r="C8" s="479"/>
      <c r="D8" s="479"/>
    </row>
    <row r="9" spans="2:14" ht="23.5" x14ac:dyDescent="0.55000000000000004">
      <c r="C9" s="600" t="s">
        <v>733</v>
      </c>
      <c r="D9" s="601"/>
      <c r="E9" s="601"/>
      <c r="F9" s="601"/>
      <c r="G9" s="601"/>
      <c r="H9" s="602"/>
      <c r="I9" s="600" t="s">
        <v>734</v>
      </c>
      <c r="J9" s="601"/>
      <c r="K9" s="601"/>
      <c r="L9" s="601"/>
      <c r="M9" s="601"/>
      <c r="N9" s="602"/>
    </row>
    <row r="10" spans="2:14" ht="21" x14ac:dyDescent="0.5">
      <c r="B10" s="485" t="s">
        <v>737</v>
      </c>
      <c r="C10" s="496" t="s">
        <v>742</v>
      </c>
      <c r="D10" s="494" t="s">
        <v>743</v>
      </c>
      <c r="E10" s="495" t="s">
        <v>744</v>
      </c>
      <c r="F10" s="495" t="s">
        <v>745</v>
      </c>
      <c r="G10" s="495" t="s">
        <v>746</v>
      </c>
      <c r="H10" s="497" t="s">
        <v>747</v>
      </c>
      <c r="I10" s="496" t="s">
        <v>742</v>
      </c>
      <c r="J10" s="494" t="s">
        <v>743</v>
      </c>
      <c r="K10" s="495" t="s">
        <v>744</v>
      </c>
      <c r="L10" s="495" t="s">
        <v>745</v>
      </c>
      <c r="M10" s="495" t="s">
        <v>746</v>
      </c>
      <c r="N10" s="497" t="s">
        <v>747</v>
      </c>
    </row>
    <row r="11" spans="2:14" ht="43.5" x14ac:dyDescent="0.35">
      <c r="B11" s="487" t="s">
        <v>738</v>
      </c>
      <c r="C11" s="490">
        <f>COUNTIF(H81:M90, "&lt;&gt;*TRUE*")+COUNTIF(N81:O90, "&lt;&gt;TRUE")</f>
        <v>0</v>
      </c>
      <c r="D11" s="486">
        <f>COUNTIF(H94:M103, "&lt;&gt;*TRUE*")+COUNTIF(N94:O103, "&lt;&gt;TRUE")</f>
        <v>0</v>
      </c>
      <c r="E11" s="486">
        <f>COUNTIF(H108:M117, "&lt;&gt;*TRUE*")+COUNTIF(N108:O117, "&lt;&gt;TRUE")</f>
        <v>0</v>
      </c>
      <c r="F11" s="486">
        <f>COUNTIF(H122:M131, "&lt;&gt;*TRUE*")+COUNTIF(N122:O131, "&lt;&gt;TRUE")</f>
        <v>0</v>
      </c>
      <c r="G11" s="486">
        <f>COUNTIF(H136:M145, "&lt;&gt;*TRUE*")+COUNTIF(N136:O145, "&lt;&gt;TRUE")</f>
        <v>0</v>
      </c>
      <c r="H11" s="491">
        <f>COUNTIF(H150:M151, "&lt;&gt;*TRUE*")+COUNTIF(N150:O151, "&lt;&gt;TRUE")</f>
        <v>0</v>
      </c>
      <c r="I11" s="490">
        <f>COUNTIF(W81:AB90, "&lt;&gt;*TRUE*")+COUNTIF(AC81:AD90, "&lt;&gt;TRUE")</f>
        <v>0</v>
      </c>
      <c r="J11" s="486">
        <f>COUNTIF(W94:AB103, "&lt;&gt;*TRUE*")+COUNTIF(AC94:AD103, "&lt;&gt;TRUE")</f>
        <v>0</v>
      </c>
      <c r="K11" s="486">
        <f>COUNTIF(W108:AB117, "&lt;&gt;*TRUE*")+COUNTIF(AC108:AD117, "&lt;&gt;TRUE")</f>
        <v>0</v>
      </c>
      <c r="L11" s="486">
        <f>COUNTIF(W122:AB131, "&lt;&gt;*TRUE*")+COUNTIF(AC122:AD131, "&lt;&gt;TRUE")</f>
        <v>0</v>
      </c>
      <c r="M11" s="486">
        <f>COUNTIF(W136:AB145, "&lt;&gt;*TRUE*")+COUNTIF(AC136:AD145, "&lt;&gt;TRUE")</f>
        <v>0</v>
      </c>
      <c r="N11" s="491">
        <f>COUNTIF(W150:AB151, "&lt;&gt;*TRUE*")+COUNTIF(AC150:AD151, "&lt;&gt;TRUE")</f>
        <v>0</v>
      </c>
    </row>
    <row r="12" spans="2:14" ht="44" thickBot="1" x14ac:dyDescent="0.4">
      <c r="B12" s="487" t="s">
        <v>739</v>
      </c>
      <c r="C12" s="492" t="str">
        <f>IF(G81&lt;=SUM(G82:G90), "Yes", "No")</f>
        <v>Yes</v>
      </c>
      <c r="D12" s="498" t="str">
        <f>IF(G94&lt;=SUM(G95:G103), "Yes", "No")</f>
        <v>Yes</v>
      </c>
      <c r="E12" s="498" t="str">
        <f>IF(G108&lt;=SUM(G109:G117), "Yes", "No")</f>
        <v>Yes</v>
      </c>
      <c r="F12" s="498" t="str">
        <f>IF(G122&lt;=SUM(G123:G131), "Yes", "No")</f>
        <v>Yes</v>
      </c>
      <c r="G12" s="498" t="str">
        <f>IF(G136&lt;=SUM(G137:G145), "Yes", "No")</f>
        <v>Yes</v>
      </c>
      <c r="H12" s="493" t="str">
        <f>IF(G150=G151, "Yes", "No")</f>
        <v>Yes</v>
      </c>
      <c r="I12" s="492" t="str">
        <f>IF(V81&lt;=SUM(V82:V90), "Yes", "No")</f>
        <v>Yes</v>
      </c>
      <c r="J12" s="498" t="str">
        <f>IF(V94&lt;=SUM(V95:V103), "Yes", "No")</f>
        <v>Yes</v>
      </c>
      <c r="K12" s="498" t="str">
        <f>IF(V108&lt;=SUM(V109:V117), "Yes", "No")</f>
        <v>Yes</v>
      </c>
      <c r="L12" s="498" t="str">
        <f>IF(V122&lt;=SUM(V123:V131), "Yes", "No")</f>
        <v>Yes</v>
      </c>
      <c r="M12" s="498" t="str">
        <f>IF(V136&lt;=SUM(V137:V145), "Yes", "No")</f>
        <v>Yes</v>
      </c>
      <c r="N12" s="493" t="str">
        <f>IF(V150=V151, "Yes", "No")</f>
        <v>Yes</v>
      </c>
    </row>
    <row r="13" spans="2:14" ht="15" thickBot="1" x14ac:dyDescent="0.4">
      <c r="C13" s="479"/>
      <c r="D13" s="479"/>
    </row>
    <row r="14" spans="2:14" ht="18.5" x14ac:dyDescent="0.45">
      <c r="C14" s="499" t="s">
        <v>742</v>
      </c>
      <c r="D14" s="500" t="s">
        <v>743</v>
      </c>
      <c r="E14" s="501" t="s">
        <v>744</v>
      </c>
      <c r="F14" s="501" t="s">
        <v>745</v>
      </c>
      <c r="G14" s="501" t="s">
        <v>746</v>
      </c>
      <c r="H14" s="502" t="s">
        <v>747</v>
      </c>
    </row>
    <row r="15" spans="2:14" ht="58.5" thickBot="1" x14ac:dyDescent="0.4">
      <c r="B15" s="487" t="s">
        <v>741</v>
      </c>
      <c r="C15" s="492">
        <f>COUNTIF(AG81:AG90, "&gt;10%")+COUNTIF(AG81:AG90, "&lt;-10%")</f>
        <v>0</v>
      </c>
      <c r="D15" s="498">
        <f>COUNTIF(AG94:AG103, "&gt;10%")+COUNTIF(AG94:AG103, "&lt;-10%")</f>
        <v>0</v>
      </c>
      <c r="E15" s="498">
        <f>COUNTIF(AG108:AG117, "&gt;10%")+COUNTIF(AG108:AG117, "&lt;-10%")</f>
        <v>0</v>
      </c>
      <c r="F15" s="498">
        <f>COUNTIF(AG122:AG131, "&gt;10%")+COUNTIF(AG122:AG131, "&lt;-10%")</f>
        <v>0</v>
      </c>
      <c r="G15" s="498">
        <f>COUNTIF(AG136:AG145, "&gt;10%")+COUNTIF(AG136:AG145, "&lt;-10%")</f>
        <v>0</v>
      </c>
      <c r="H15" s="493">
        <f>COUNTIF(AG150:AG151, "&gt;10%")+COUNTIF(AG150:AG151, "&lt;-10%")</f>
        <v>0</v>
      </c>
    </row>
    <row r="16" spans="2:14" ht="15" thickBot="1" x14ac:dyDescent="0.4">
      <c r="C16" s="479"/>
      <c r="D16" s="479"/>
    </row>
    <row r="17" spans="2:10" ht="24" thickBot="1" x14ac:dyDescent="0.6">
      <c r="C17" s="600" t="s">
        <v>733</v>
      </c>
      <c r="D17" s="601"/>
      <c r="E17" s="602"/>
      <c r="F17" s="600" t="s">
        <v>734</v>
      </c>
      <c r="G17" s="601"/>
      <c r="H17" s="602"/>
    </row>
    <row r="18" spans="2:10" ht="18.5" x14ac:dyDescent="0.45">
      <c r="C18" s="499" t="s">
        <v>8</v>
      </c>
      <c r="D18" s="499" t="s">
        <v>9</v>
      </c>
      <c r="E18" s="503" t="s">
        <v>163</v>
      </c>
      <c r="F18" s="499" t="s">
        <v>8</v>
      </c>
      <c r="G18" s="499" t="s">
        <v>9</v>
      </c>
      <c r="H18" s="503" t="s">
        <v>163</v>
      </c>
    </row>
    <row r="19" spans="2:10" ht="44" thickBot="1" x14ac:dyDescent="0.4">
      <c r="B19" s="487" t="s">
        <v>740</v>
      </c>
      <c r="C19" s="492">
        <f>COUNTIF(E157:E166,"&lt;&gt;*TRUE*")</f>
        <v>0</v>
      </c>
      <c r="D19" s="498">
        <f>COUNTIF(M157:M166,"&lt;&gt;*TRUE*")</f>
        <v>0</v>
      </c>
      <c r="E19" s="493">
        <f>COUNTIF(U157:U166,"&lt;&gt;*TRUE*")</f>
        <v>0</v>
      </c>
      <c r="F19" s="492">
        <f>COUNTIF(H157:H166,"&lt;&gt;*TRUE*")</f>
        <v>0</v>
      </c>
      <c r="G19" s="498">
        <f>COUNTIF(P157:P166,"&lt;&gt;*TRUE*")</f>
        <v>0</v>
      </c>
      <c r="H19" s="493">
        <f>COUNTIF(X157:X166,"&lt;&gt;*TRUE*")</f>
        <v>0</v>
      </c>
      <c r="J19" s="539"/>
    </row>
    <row r="20" spans="2:10" x14ac:dyDescent="0.35">
      <c r="C20" s="479"/>
      <c r="D20" s="479"/>
    </row>
    <row r="21" spans="2:10" x14ac:dyDescent="0.35">
      <c r="C21" s="20"/>
      <c r="D21" s="20"/>
    </row>
    <row r="22" spans="2:10" x14ac:dyDescent="0.35">
      <c r="C22" s="20"/>
      <c r="D22" s="20"/>
    </row>
    <row r="23" spans="2:10" x14ac:dyDescent="0.35">
      <c r="B23" s="13" t="s">
        <v>1</v>
      </c>
      <c r="C23" s="20"/>
      <c r="D23" s="20"/>
    </row>
    <row r="24" spans="2:10" x14ac:dyDescent="0.35">
      <c r="B24" s="201" t="s">
        <v>139</v>
      </c>
      <c r="C24" s="201">
        <v>2021</v>
      </c>
      <c r="D24" s="201">
        <v>2022</v>
      </c>
    </row>
    <row r="25" spans="2:10" x14ac:dyDescent="0.35">
      <c r="B25" s="6" t="s">
        <v>58</v>
      </c>
      <c r="C25" s="116">
        <f>INDEX(HDTME2021[Period Beginning Date], MATCH("Period Beginning Date", B25, 0))</f>
        <v>0</v>
      </c>
      <c r="D25" s="116">
        <f>INDEX(HDTME2022[Period Beginning Date], MATCH("Period Beginning Date", B25, 0))</f>
        <v>0</v>
      </c>
    </row>
    <row r="26" spans="2:10" x14ac:dyDescent="0.35">
      <c r="B26" s="6" t="s">
        <v>59</v>
      </c>
      <c r="C26" s="116">
        <f>INDEX(HDTME2021[Period Ending Date], MATCH("Period Ending Date", B26, 0))</f>
        <v>0</v>
      </c>
      <c r="D26" s="116">
        <f>INDEX(HDTME2022[Period Ending Date], MATCH("Period Ending Date", B26, 0))</f>
        <v>0</v>
      </c>
    </row>
    <row r="27" spans="2:10" x14ac:dyDescent="0.35">
      <c r="C27" s="20"/>
      <c r="D27" s="20"/>
    </row>
    <row r="28" spans="2:10" x14ac:dyDescent="0.35">
      <c r="C28" s="20"/>
      <c r="D28" s="20"/>
    </row>
    <row r="29" spans="2:10" x14ac:dyDescent="0.35">
      <c r="C29" s="20"/>
      <c r="D29" s="20"/>
    </row>
    <row r="30" spans="2:10" x14ac:dyDescent="0.35">
      <c r="B30" s="13" t="s">
        <v>138</v>
      </c>
      <c r="C30" s="20"/>
      <c r="D30" s="20"/>
    </row>
    <row r="31" spans="2:10" x14ac:dyDescent="0.35">
      <c r="B31" s="201" t="s">
        <v>588</v>
      </c>
      <c r="C31" s="201">
        <v>2021</v>
      </c>
      <c r="D31" s="201">
        <v>2022</v>
      </c>
      <c r="E31" s="201" t="s">
        <v>6</v>
      </c>
    </row>
    <row r="32" spans="2:10" x14ac:dyDescent="0.35">
      <c r="B32" s="6" t="s">
        <v>61</v>
      </c>
      <c r="C32" s="115">
        <f>INDEX(HDTME2021[Clinical Risk Adjustment Tool], MATCH("Clinical Risk Adjustment Tool", B32, 0))</f>
        <v>0</v>
      </c>
      <c r="D32" s="115">
        <f>INDEX(HDTME2022[Clinical Risk Adjustment Tool], MATCH("Clinical Risk Adjustment Tool", B32, 0))</f>
        <v>0</v>
      </c>
      <c r="E32" s="14" t="str">
        <f>IF(C32=D32,"Yes","No")</f>
        <v>Yes</v>
      </c>
    </row>
    <row r="33" spans="2:8" x14ac:dyDescent="0.35">
      <c r="B33" s="6" t="s">
        <v>62</v>
      </c>
      <c r="C33" s="115">
        <f>INDEX(HDTME2021[Clinical Risk Adjustment Version], MATCH("Clinical Risk Adjustment Version", B33, 0))</f>
        <v>0</v>
      </c>
      <c r="D33" s="115">
        <f>INDEX(HDTME2022[Clinical Risk Adjustment Version], MATCH("Clinical Risk Adjustment Version", B33, 0))</f>
        <v>0</v>
      </c>
      <c r="E33" s="14" t="str">
        <f>IF(C33=D33,"Yes","No")</f>
        <v>Yes</v>
      </c>
    </row>
    <row r="34" spans="2:8" x14ac:dyDescent="0.35">
      <c r="C34" s="20"/>
      <c r="D34" s="20"/>
    </row>
    <row r="35" spans="2:8" x14ac:dyDescent="0.35">
      <c r="C35" s="20"/>
      <c r="D35" s="20"/>
    </row>
    <row r="36" spans="2:8" x14ac:dyDescent="0.35">
      <c r="C36" s="20"/>
      <c r="D36" s="20"/>
    </row>
    <row r="37" spans="2:8" x14ac:dyDescent="0.35">
      <c r="B37" s="13" t="s">
        <v>673</v>
      </c>
      <c r="D37" s="5"/>
      <c r="H37" s="5"/>
    </row>
    <row r="38" spans="2:8" x14ac:dyDescent="0.35">
      <c r="B38" s="21" t="s">
        <v>2</v>
      </c>
      <c r="D38" s="5"/>
      <c r="H38" s="5"/>
    </row>
    <row r="39" spans="2:8" ht="29" x14ac:dyDescent="0.35">
      <c r="B39" s="201" t="s">
        <v>3</v>
      </c>
      <c r="C39" s="201" t="s">
        <v>674</v>
      </c>
      <c r="D39" s="203" t="s">
        <v>675</v>
      </c>
      <c r="E39" s="201" t="s">
        <v>676</v>
      </c>
      <c r="F39" s="203" t="s">
        <v>677</v>
      </c>
      <c r="G39" s="203" t="s">
        <v>678</v>
      </c>
    </row>
    <row r="40" spans="2:8" x14ac:dyDescent="0.35">
      <c r="B40" s="3">
        <v>1</v>
      </c>
      <c r="C40" s="22" t="str">
        <f>IF(VLOOKUP($C$1,ExpectedICC[#All],2,FALSE)=0,"No","Yes")</f>
        <v>Yes</v>
      </c>
      <c r="D40" s="22" t="str">
        <f>IF(COUNTIF(ACOAETME2021[Insurance Category Code], 1)=0, "No", "Yes")</f>
        <v>No</v>
      </c>
      <c r="E40" s="22" t="str">
        <f>IF(VLOOKUP($C$1,ExpectedICC[#All],2,FALSE)=0,"No","Yes")</f>
        <v>Yes</v>
      </c>
      <c r="F40" s="22" t="str">
        <f>IF(COUNTIF(ACOAETME2022[Insurance Category Code], 1)=0, "No", "Yes")</f>
        <v>No</v>
      </c>
      <c r="G40" s="3" t="str">
        <f>IF(D40=F40, "Yes", "No")</f>
        <v>Yes</v>
      </c>
    </row>
    <row r="41" spans="2:8" x14ac:dyDescent="0.35">
      <c r="B41" s="3">
        <v>2</v>
      </c>
      <c r="C41" s="22" t="str">
        <f>IF(VLOOKUP($C$1,ExpectedICC[#All],3,FALSE)=0,"No","Yes")</f>
        <v>No</v>
      </c>
      <c r="D41" s="22" t="str">
        <f>IF(COUNTIF(ACOAETME2021[Insurance Category Code], 2)=0, "No", "Yes")</f>
        <v>No</v>
      </c>
      <c r="E41" s="22" t="str">
        <f>IF(VLOOKUP($C$1,ExpectedICC[#All],3,FALSE)=0,"No","Yes")</f>
        <v>No</v>
      </c>
      <c r="F41" s="22" t="str">
        <f>IF(COUNTIF(ACOAETME2022[Insurance Category Code], 2)=0, "No", "Yes")</f>
        <v>No</v>
      </c>
      <c r="G41" s="3" t="str">
        <f t="shared" ref="G41:G46" si="0">IF(D41=F41, "Yes", "No")</f>
        <v>Yes</v>
      </c>
    </row>
    <row r="42" spans="2:8" x14ac:dyDescent="0.35">
      <c r="B42" s="3">
        <v>3</v>
      </c>
      <c r="C42" s="22" t="str">
        <f>IF(VLOOKUP($C$1,ExpectedICC[#All],4,FALSE)=0,"No","Yes")</f>
        <v>Yes</v>
      </c>
      <c r="D42" s="22" t="str">
        <f>IF(COUNTIF(ACOAETME2021[Insurance Category Code], 3)=0, "No", "Yes")</f>
        <v>No</v>
      </c>
      <c r="E42" s="22" t="str">
        <f>IF(VLOOKUP($C$1,ExpectedICC[#All],4,FALSE)=0,"No","Yes")</f>
        <v>Yes</v>
      </c>
      <c r="F42" s="22" t="str">
        <f>IF(COUNTIF(ACOAETME2022[Insurance Category Code], 3)=0, "No", "Yes")</f>
        <v>No</v>
      </c>
      <c r="G42" s="3" t="str">
        <f t="shared" si="0"/>
        <v>Yes</v>
      </c>
    </row>
    <row r="43" spans="2:8" x14ac:dyDescent="0.35">
      <c r="B43" s="3">
        <v>4</v>
      </c>
      <c r="C43" s="22" t="str">
        <f>IF(VLOOKUP($C$1,ExpectedICC[#All],5,FALSE)=0,"No","Yes")</f>
        <v>Yes</v>
      </c>
      <c r="D43" s="22" t="str">
        <f>IF(COUNTIF(ACOAETME2021[Insurance Category Code], 4)=0, "No", "Yes")</f>
        <v>No</v>
      </c>
      <c r="E43" s="22" t="str">
        <f>IF(VLOOKUP($C$1,ExpectedICC[#All],5,FALSE)=0,"No","Yes")</f>
        <v>Yes</v>
      </c>
      <c r="F43" s="22" t="str">
        <f>IF(COUNTIF(ACOAETME2022[Insurance Category Code], 4)=0, "No", "Yes")</f>
        <v>No</v>
      </c>
      <c r="G43" s="3" t="str">
        <f t="shared" si="0"/>
        <v>Yes</v>
      </c>
    </row>
    <row r="44" spans="2:8" x14ac:dyDescent="0.35">
      <c r="B44" s="3">
        <v>5</v>
      </c>
      <c r="C44" s="22" t="str">
        <f>IF(VLOOKUP($C$1,ExpectedICC[#All],6,FALSE)=0,"No","Yes")</f>
        <v>Yes</v>
      </c>
      <c r="D44" s="22" t="str">
        <f>IF(COUNTIF(ACOAETME2021[Insurance Category Code], 5)=0, "No", "Yes")</f>
        <v>No</v>
      </c>
      <c r="E44" s="22" t="str">
        <f>IF(VLOOKUP($C$1,ExpectedICC[#All],6,FALSE)=0,"No","Yes")</f>
        <v>Yes</v>
      </c>
      <c r="F44" s="22" t="str">
        <f>IF(COUNTIF(ACOAETME2022[Insurance Category Code], 5)=0, "No", "Yes")</f>
        <v>No</v>
      </c>
      <c r="G44" s="3" t="str">
        <f t="shared" si="0"/>
        <v>Yes</v>
      </c>
    </row>
    <row r="45" spans="2:8" x14ac:dyDescent="0.35">
      <c r="B45" s="3">
        <v>6</v>
      </c>
      <c r="C45" s="22" t="str">
        <f>IF(VLOOKUP($C$1,ExpectedICC[#All],7,FALSE)=0,"No","Yes")</f>
        <v>No</v>
      </c>
      <c r="D45" s="22" t="str">
        <f>IF(COUNTIF(ACOAETME2021[Insurance Category Code], 6)=0, "No", "Yes")</f>
        <v>No</v>
      </c>
      <c r="E45" s="22" t="str">
        <f>IF(VLOOKUP($C$1,ExpectedICC[#All],7,FALSE)=0,"No","Yes")</f>
        <v>No</v>
      </c>
      <c r="F45" s="22" t="str">
        <f>IF(COUNTIF(ACOAETME2022[Insurance Category Code], 6)=0, "No", "Yes")</f>
        <v>No</v>
      </c>
      <c r="G45" s="3" t="str">
        <f t="shared" si="0"/>
        <v>Yes</v>
      </c>
    </row>
    <row r="46" spans="2:8" x14ac:dyDescent="0.35">
      <c r="B46" s="3">
        <v>7</v>
      </c>
      <c r="C46" s="22" t="str">
        <f>IF(VLOOKUP($C$1,ExpectedICC[#All],8,FALSE)=0,"No","Yes")</f>
        <v>No</v>
      </c>
      <c r="D46" s="22" t="str">
        <f>IF(COUNTIF(ACOAETME2021[Insurance Category Code], 7)=0, "No", "Yes")</f>
        <v>No</v>
      </c>
      <c r="E46" s="22" t="str">
        <f>IF(VLOOKUP($C$1,ExpectedICC[#All],8,FALSE)=0,"No","Yes")</f>
        <v>No</v>
      </c>
      <c r="F46" s="22" t="str">
        <f>IF(COUNTIF(ACOAETME2022[Insurance Category Code], 7)=0, "No", "Yes")</f>
        <v>No</v>
      </c>
      <c r="G46" s="3" t="str">
        <f t="shared" si="0"/>
        <v>Yes</v>
      </c>
    </row>
    <row r="47" spans="2:8" x14ac:dyDescent="0.35">
      <c r="C47" s="23"/>
      <c r="D47" s="23"/>
      <c r="E47" s="23"/>
      <c r="G47" s="23"/>
      <c r="H47" s="23"/>
    </row>
    <row r="48" spans="2:8" x14ac:dyDescent="0.35">
      <c r="B48" s="13" t="s">
        <v>784</v>
      </c>
      <c r="E48" s="24"/>
      <c r="F48" s="2"/>
      <c r="G48" s="2"/>
    </row>
    <row r="49" spans="2:9" x14ac:dyDescent="0.35">
      <c r="B49" s="21" t="s">
        <v>4</v>
      </c>
      <c r="E49" s="24"/>
      <c r="F49" s="2"/>
      <c r="G49" s="2"/>
    </row>
    <row r="50" spans="2:9" ht="58" x14ac:dyDescent="0.35">
      <c r="B50" s="201" t="s">
        <v>5</v>
      </c>
      <c r="C50" s="201" t="s">
        <v>679</v>
      </c>
      <c r="D50" s="201" t="s">
        <v>592</v>
      </c>
      <c r="E50" s="421" t="s">
        <v>680</v>
      </c>
      <c r="F50" s="354" t="s">
        <v>681</v>
      </c>
      <c r="G50" s="421" t="s">
        <v>682</v>
      </c>
      <c r="H50" s="354" t="s">
        <v>683</v>
      </c>
      <c r="I50" s="422" t="s">
        <v>684</v>
      </c>
    </row>
    <row r="51" spans="2:9" x14ac:dyDescent="0.35">
      <c r="B51" s="3" t="s">
        <v>7</v>
      </c>
      <c r="C51" s="14">
        <f>SUM(C69:C75)</f>
        <v>0</v>
      </c>
      <c r="D51" s="14">
        <f>SUM(LOBEnroll[[#All],[2021 Member Months]])</f>
        <v>0</v>
      </c>
      <c r="E51" s="14" t="str">
        <f>IF(C51=D51,"Yes",ABS(C51-D51))</f>
        <v>Yes</v>
      </c>
      <c r="F51" s="14">
        <f>SUM(D69:D75)</f>
        <v>0</v>
      </c>
      <c r="G51" s="14" t="str">
        <f>IF(C51=F51,"Yes",ABS(C51-F51))</f>
        <v>Yes</v>
      </c>
      <c r="H51" s="14">
        <f>SUMIF(StandDev2021[[#All],[ACO/AE or Insurer Organization ID]], 100, StandDev2021[[#All],[Member Months]])</f>
        <v>0</v>
      </c>
      <c r="I51" s="14" t="str">
        <f>IF(C51=H51,"Yes",ABS(C51-H51))</f>
        <v>Yes</v>
      </c>
    </row>
    <row r="52" spans="2:9" x14ac:dyDescent="0.35">
      <c r="B52" s="3" t="s">
        <v>8</v>
      </c>
      <c r="C52" s="14">
        <f>IF(C1&lt;&gt;"Neighborhood Health Plan of RI", C69, C75)</f>
        <v>0</v>
      </c>
      <c r="D52" s="14">
        <f>IF(C1&lt;&gt;"Neighborhood Health Plan of RI", SUMIF(LOBEnroll[[#All],[Line of Business Enrollment Category Code]], 906, LOBEnroll[[#All],[2021 Member Months]]), SUMIF(LOBEnroll[[#All],[Line of Business Enrollment Category Code]], 908, LOBEnroll[[#All],[2021 Member Months]]))</f>
        <v>0</v>
      </c>
      <c r="E52" s="14" t="str">
        <f t="shared" ref="E52:E55" si="1">IF(C52=D52,"Yes",ABS(C52-D52))</f>
        <v>Yes</v>
      </c>
      <c r="F52" s="14">
        <f>IF(C1&lt;&gt;"Neighborhood Health Plan of RI", D69, D75)</f>
        <v>0</v>
      </c>
      <c r="G52" s="14" t="str">
        <f t="shared" ref="G52:G55" si="2">IF(C52=F52,"Yes",ABS(C52-F52))</f>
        <v>Yes</v>
      </c>
      <c r="H52" s="14">
        <f>IF(C1&lt;&gt;"Neighborhood", SUMIFS(StandDev2021[[#All],[Member Months]],StandDev2021[[#All],[ACO/AE or Insurer Organization ID]], 100, StandDev2021[[#All],[Market]], "Medicare")-C73, 0)</f>
        <v>0</v>
      </c>
      <c r="I52" s="14" t="str">
        <f t="shared" ref="I52:I55" si="3">IF(C52=H52,"Yes",ABS(C52-H52))</f>
        <v>Yes</v>
      </c>
    </row>
    <row r="53" spans="2:9" x14ac:dyDescent="0.35">
      <c r="B53" s="3" t="s">
        <v>9</v>
      </c>
      <c r="C53" s="14">
        <f>C70</f>
        <v>0</v>
      </c>
      <c r="D53" s="14">
        <f>SUMIF(LOBEnroll[[#All],[Line of Business Enrollment Category Code]], 907, LOBEnroll[[#All],[2021 Member Months]])</f>
        <v>0</v>
      </c>
      <c r="E53" s="14" t="str">
        <f t="shared" si="1"/>
        <v>Yes</v>
      </c>
      <c r="F53" s="14">
        <f>D70</f>
        <v>0</v>
      </c>
      <c r="G53" s="14" t="str">
        <f t="shared" si="2"/>
        <v>Yes</v>
      </c>
      <c r="H53" s="14">
        <f>SUMIFS(StandDev2021[[#All],[Member Months]],StandDev2021[[#All],[ACO/AE or Insurer Organization ID]], 100, StandDev2021[[#All],[Market]], "Medicaid")</f>
        <v>0</v>
      </c>
      <c r="I53" s="14" t="str">
        <f t="shared" si="3"/>
        <v>Yes</v>
      </c>
    </row>
    <row r="54" spans="2:9" x14ac:dyDescent="0.35">
      <c r="B54" s="22" t="s">
        <v>238</v>
      </c>
      <c r="C54" s="14">
        <f>C73+C74+C75</f>
        <v>0</v>
      </c>
      <c r="D54" s="14">
        <f>SUMIF(LOBEnroll[[#All],[Line of Business Enrollment Category Code]], 908, LOBEnroll[[#All],[2021 Member Months]])</f>
        <v>0</v>
      </c>
      <c r="E54" s="14" t="str">
        <f t="shared" si="1"/>
        <v>Yes</v>
      </c>
      <c r="F54" s="14">
        <f>D73+D74+D75</f>
        <v>0</v>
      </c>
      <c r="G54" s="14" t="str">
        <f t="shared" si="2"/>
        <v>Yes</v>
      </c>
      <c r="H54" s="14">
        <f>IF(C1&lt;&gt;"Neighborhood Health Plan of RI", 0, SUMIFS(StandDev2021[[#All],[Member Months]],StandDev2021[[#All],[ACO/AE or Insurer Organization ID]], 100, StandDev2021[[#All],[Market]], "Medicare"))</f>
        <v>0</v>
      </c>
      <c r="I54" s="14" t="str">
        <f>IFERROR(IF(C54=H54,"Yes",ABS(C54-H54)),"NA")</f>
        <v>Yes</v>
      </c>
    </row>
    <row r="55" spans="2:9" x14ac:dyDescent="0.35">
      <c r="B55" s="3" t="s">
        <v>10</v>
      </c>
      <c r="C55" s="14">
        <f>SUM(C71:C72)</f>
        <v>0</v>
      </c>
      <c r="D55" s="14">
        <f>SUMIF(LOBEnroll[[#All],[Line of Business Enrollment Category Code]], 901, LOBEnroll[[#All],[2021 Member Months]])+SUMIF(LOBEnroll[[#All],[Line of Business Enrollment Category Code]], 902, LOBEnroll[[#All],[2021 Member Months]])+SUMIF(LOBEnroll[[#All],[Line of Business Enrollment Category Code]], 903, LOBEnroll[[#All],[2021 Member Months]])+SUMIF(LOBEnroll[[#All],[Line of Business Enrollment Category Code]], 904, LOBEnroll[[#All],[2021 Member Months]])+SUMIF(LOBEnroll[[#All],[Line of Business Enrollment Category Code]], 905, LOBEnroll[[#All],[2021 Member Months]])</f>
        <v>0</v>
      </c>
      <c r="E55" s="14" t="str">
        <f t="shared" si="1"/>
        <v>Yes</v>
      </c>
      <c r="F55" s="14">
        <f>D71+D72</f>
        <v>0</v>
      </c>
      <c r="G55" s="14" t="str">
        <f t="shared" si="2"/>
        <v>Yes</v>
      </c>
      <c r="H55" s="14">
        <f>SUMIFS(StandDev2021[[#All],[Member Months]],StandDev2021[[#All],[ACO/AE or Insurer Organization ID]], 100, StandDev2021[[#All],[Market]], "Commercial")</f>
        <v>0</v>
      </c>
      <c r="I55" s="14" t="str">
        <f t="shared" si="3"/>
        <v>Yes</v>
      </c>
    </row>
    <row r="56" spans="2:9" x14ac:dyDescent="0.35">
      <c r="B56" s="13"/>
      <c r="E56" s="24"/>
      <c r="F56" s="2"/>
      <c r="G56" s="2"/>
    </row>
    <row r="57" spans="2:9" x14ac:dyDescent="0.35">
      <c r="B57" s="13" t="s">
        <v>785</v>
      </c>
      <c r="E57" s="24"/>
      <c r="F57" s="2"/>
      <c r="G57" s="2"/>
    </row>
    <row r="58" spans="2:9" x14ac:dyDescent="0.35">
      <c r="B58" s="21" t="s">
        <v>4</v>
      </c>
      <c r="E58" s="24"/>
      <c r="F58" s="2"/>
      <c r="G58" s="2"/>
    </row>
    <row r="59" spans="2:9" ht="58" x14ac:dyDescent="0.35">
      <c r="B59" s="201" t="s">
        <v>5</v>
      </c>
      <c r="C59" s="201" t="s">
        <v>679</v>
      </c>
      <c r="D59" s="201" t="s">
        <v>592</v>
      </c>
      <c r="E59" s="421" t="s">
        <v>680</v>
      </c>
      <c r="F59" s="354" t="s">
        <v>681</v>
      </c>
      <c r="G59" s="421" t="s">
        <v>682</v>
      </c>
      <c r="H59" s="354" t="s">
        <v>683</v>
      </c>
      <c r="I59" s="422" t="s">
        <v>684</v>
      </c>
    </row>
    <row r="60" spans="2:9" x14ac:dyDescent="0.35">
      <c r="B60" s="3" t="s">
        <v>7</v>
      </c>
      <c r="C60" s="14">
        <f>SUM(G69:G75)</f>
        <v>0</v>
      </c>
      <c r="D60" s="14">
        <f>SUM(LOBEnroll[2022 Member Months])</f>
        <v>0</v>
      </c>
      <c r="E60" s="14" t="str">
        <f>IF(C60=D60,"Yes",ABS(C60-D60))</f>
        <v>Yes</v>
      </c>
      <c r="F60" s="14">
        <f>SUM(H69:H75)</f>
        <v>0</v>
      </c>
      <c r="G60" s="14" t="str">
        <f>IF(C60=F60,"Yes",ABS(C60-F60))</f>
        <v>Yes</v>
      </c>
      <c r="H60" s="14">
        <f>SUMIF(StandDev2022[[#All],[ACO/AE or Insurer Organization ID]], 100, StandDev2022[[#All],[Member Months]])</f>
        <v>0</v>
      </c>
      <c r="I60" s="14" t="str">
        <f>IF(C60=H60,"Yes",ABS(C60-H60))</f>
        <v>Yes</v>
      </c>
    </row>
    <row r="61" spans="2:9" x14ac:dyDescent="0.35">
      <c r="B61" s="3" t="s">
        <v>8</v>
      </c>
      <c r="C61" s="14">
        <f>IF(C1&lt;&gt;"Neighborhood Health Plan of RI", G69, G75)</f>
        <v>0</v>
      </c>
      <c r="D61" s="14">
        <f>IF(C1&lt;&gt;"Neighborhood Health Plan of RI", SUMIF(LOBEnroll[[#All],[Line of Business Enrollment Category Code]], 906, LOBEnroll[[#All],[2022 Member Months]]), SUMIF(LOBEnroll[[#All],[Line of Business Enrollment Category Code]], 908, LOBEnroll[[#All],[2022 Member Months]]))</f>
        <v>0</v>
      </c>
      <c r="E61" s="14" t="str">
        <f t="shared" ref="E61:E64" si="4">IF(C61=D61,"Yes",ABS(C61-D61))</f>
        <v>Yes</v>
      </c>
      <c r="F61" s="14">
        <f>IF(C1&lt;&gt;"Neighborhood Health Plan of RI", H69, H75)</f>
        <v>0</v>
      </c>
      <c r="G61" s="14" t="str">
        <f t="shared" ref="G61:G64" si="5">IF(C61=F61,"Yes",ABS(C61-F61))</f>
        <v>Yes</v>
      </c>
      <c r="H61" s="14">
        <f>IF(C1&lt;&gt;"Neighborhood", SUMIFS(StandDev2022[[#All],[Member Months]],StandDev2022[[#All],[ACO/AE or Insurer Organization ID]], 100, StandDev2022[[#All],[Market]], "Medicare")-G73, 0)</f>
        <v>0</v>
      </c>
      <c r="I61" s="14" t="str">
        <f t="shared" ref="I61:I64" si="6">IF(C61=H61,"Yes",ABS(C61-H61))</f>
        <v>Yes</v>
      </c>
    </row>
    <row r="62" spans="2:9" x14ac:dyDescent="0.35">
      <c r="B62" s="3" t="s">
        <v>9</v>
      </c>
      <c r="C62" s="14">
        <f>G70</f>
        <v>0</v>
      </c>
      <c r="D62" s="14">
        <f>SUMIF(LOBEnroll[Line of Business Enrollment Category Code], 907, LOBEnroll[2022 Member Months])</f>
        <v>0</v>
      </c>
      <c r="E62" s="14" t="str">
        <f t="shared" si="4"/>
        <v>Yes</v>
      </c>
      <c r="F62" s="14">
        <f>H70</f>
        <v>0</v>
      </c>
      <c r="G62" s="14" t="str">
        <f t="shared" si="5"/>
        <v>Yes</v>
      </c>
      <c r="H62" s="14">
        <f>SUMIFS(StandDev2022[[#All],[Member Months]],StandDev2022[[#All],[ACO/AE or Insurer Organization ID]], 100, StandDev2022[[#All],[Market]], "Medicaid")</f>
        <v>0</v>
      </c>
      <c r="I62" s="14" t="str">
        <f t="shared" si="6"/>
        <v>Yes</v>
      </c>
    </row>
    <row r="63" spans="2:9" x14ac:dyDescent="0.35">
      <c r="B63" s="22" t="s">
        <v>238</v>
      </c>
      <c r="C63" s="14">
        <f>G73+G74+G75</f>
        <v>0</v>
      </c>
      <c r="D63" s="14">
        <f>SUMIF(LOBEnroll[Line of Business Enrollment Category Code], 908, LOBEnroll[2022 Member Months])</f>
        <v>0</v>
      </c>
      <c r="E63" s="14" t="str">
        <f t="shared" si="4"/>
        <v>Yes</v>
      </c>
      <c r="F63" s="14">
        <f>H73+H74+H75</f>
        <v>0</v>
      </c>
      <c r="G63" s="14" t="str">
        <f t="shared" si="5"/>
        <v>Yes</v>
      </c>
      <c r="H63" s="14">
        <f>IF(C1&lt;&gt;"Neighborhood Health Plan of RI", 0, SUMIFS(StandDev2022[[#All],[Member Months]],StandDev2022[[#All],[ACO/AE or Insurer Organization ID]], 100, StandDev2022[[#All],[Market]], "Medicare"))</f>
        <v>0</v>
      </c>
      <c r="I63" s="14" t="str">
        <f>IFERROR(IF(C63=H63,"Yes",ABS(C63-H63)),0)</f>
        <v>Yes</v>
      </c>
    </row>
    <row r="64" spans="2:9" x14ac:dyDescent="0.35">
      <c r="B64" s="3" t="s">
        <v>10</v>
      </c>
      <c r="C64" s="14">
        <f>SUM(G71:G72)</f>
        <v>0</v>
      </c>
      <c r="D64" s="14">
        <f>SUMIF(LOBEnroll[Line of Business Enrollment Category Code], 901, LOBEnroll[2022 Member Months])+SUMIF(LOBEnroll[Line of Business Enrollment Category Code], 902, LOBEnroll[2022 Member Months])+SUMIF(LOBEnroll[Line of Business Enrollment Category Code], 903, LOBEnroll[2022 Member Months])+SUMIF(LOBEnroll[Line of Business Enrollment Category Code], 904, LOBEnroll[2022 Member Months])+SUMIF(LOBEnroll[Line of Business Enrollment Category Code], 905, LOBEnroll[2022 Member Months])</f>
        <v>0</v>
      </c>
      <c r="E64" s="14" t="str">
        <f t="shared" si="4"/>
        <v>Yes</v>
      </c>
      <c r="F64" s="14">
        <f>SUM(H71:H72)</f>
        <v>0</v>
      </c>
      <c r="G64" s="14" t="str">
        <f t="shared" si="5"/>
        <v>Yes</v>
      </c>
      <c r="H64" s="14">
        <f>SUMIFS(StandDev2022[[#All],[Member Months]],StandDev2022[[#All],[ACO/AE or Insurer Organization ID]], 100, StandDev2022[[#All],[Market]], "Commercial")</f>
        <v>0</v>
      </c>
      <c r="I64" s="14" t="str">
        <f t="shared" si="6"/>
        <v>Yes</v>
      </c>
    </row>
    <row r="65" spans="2:33" x14ac:dyDescent="0.35">
      <c r="B65" s="13"/>
      <c r="E65" s="24"/>
      <c r="F65" s="2"/>
      <c r="G65" s="2"/>
    </row>
    <row r="66" spans="2:33" x14ac:dyDescent="0.35">
      <c r="B66" s="13"/>
      <c r="E66" s="24"/>
      <c r="F66" s="2"/>
      <c r="G66" s="2"/>
    </row>
    <row r="67" spans="2:33" x14ac:dyDescent="0.35">
      <c r="B67" s="13" t="s">
        <v>685</v>
      </c>
    </row>
    <row r="68" spans="2:33" ht="58" x14ac:dyDescent="0.35">
      <c r="B68" s="203" t="s">
        <v>3</v>
      </c>
      <c r="C68" s="201" t="s">
        <v>686</v>
      </c>
      <c r="D68" s="203" t="s">
        <v>687</v>
      </c>
      <c r="E68" s="203" t="s">
        <v>688</v>
      </c>
      <c r="F68" s="423" t="s">
        <v>689</v>
      </c>
      <c r="G68" s="201" t="s">
        <v>690</v>
      </c>
      <c r="H68" s="203" t="s">
        <v>691</v>
      </c>
      <c r="I68" s="203" t="s">
        <v>688</v>
      </c>
      <c r="J68" s="423" t="s">
        <v>692</v>
      </c>
    </row>
    <row r="69" spans="2:33" x14ac:dyDescent="0.35">
      <c r="B69" s="3">
        <v>1</v>
      </c>
      <c r="C69" s="14">
        <f>SUMIFS(ACOAETME2021[[#All],[Member Months]], ACOAETME2021[[#All],[Insurance Category Code]], B69, ACOAETME2021[[#All],[ACO/AE or Insurer Overall Organization ID]], 100)</f>
        <v>0</v>
      </c>
      <c r="D69" s="3">
        <f>SUMIFS(AgeSex21[[#All],[Total Member Months by Age/Sex Band]], AgeSex21[[#All],[Insurance Category Code]], B69, AgeSex21[[#All],[ACO/AE ID or Insurer Overall]], 100)</f>
        <v>0</v>
      </c>
      <c r="E69" s="14" t="str">
        <f>IF(C69=D69,"Yes",ABS(C69-D69))</f>
        <v>Yes</v>
      </c>
      <c r="F69" s="14" t="str">
        <f>IF(E69="Yes",IF(C69=SUM(C82:C90),"Yes",C69-SUM(C82:C90)))</f>
        <v>Yes</v>
      </c>
      <c r="G69" s="14">
        <f>SUMIFS(ACOAETME2022[[#All],[Member Months]], ACOAETME2022[[#All],[Insurance Category Code]], B69, ACOAETME2022[[#All],[ACO/AE or Insurer Overall Organization ID]], 100)</f>
        <v>0</v>
      </c>
      <c r="H69" s="14">
        <f>SUMIFS(AgeSex22[[#All],[Total Member Months by Age/Sex Band]], AgeSex22[[#All],[Insurance Category Code]], B69, AgeSex22[[#All],[ACO/AE ID or Insurer Overall]], 100)</f>
        <v>0</v>
      </c>
      <c r="I69" s="14" t="str">
        <f>IF(G69=H69,"Yes",ABS(G69-H69))</f>
        <v>Yes</v>
      </c>
      <c r="J69" s="14" t="str">
        <f>IF(I69="Yes",IF(G69=SUM(R82:R90), "Yes", G69-SUM(R82:R90)))</f>
        <v>Yes</v>
      </c>
    </row>
    <row r="70" spans="2:33" x14ac:dyDescent="0.35">
      <c r="B70" s="3">
        <v>2</v>
      </c>
      <c r="C70" s="14">
        <f>SUMIFS(ACOAETME2021[[#All],[Member Months]], ACOAETME2021[[#All],[Insurance Category Code]], B70, ACOAETME2021[[#All],[ACO/AE or Insurer Overall Organization ID]], 100)</f>
        <v>0</v>
      </c>
      <c r="D70" s="14">
        <f>SUMIFS(AgeSex21[[#All],[Total Member Months by Age/Sex Band]], AgeSex21[[#All],[Insurance Category Code]], B70, AgeSex21[[#All],[ACO/AE ID or Insurer Overall]], 100)</f>
        <v>0</v>
      </c>
      <c r="E70" s="14" t="str">
        <f t="shared" ref="E70:E75" si="7">IF(C70=D70,"Yes",ABS(C70-D70))</f>
        <v>Yes</v>
      </c>
      <c r="F70" s="14" t="str">
        <f>IF(E70="Yes",IF(C70=SUM(C95:C103),"Yes",C70-SUM(C95:C103)))</f>
        <v>Yes</v>
      </c>
      <c r="G70" s="14">
        <f>SUMIFS(ACOAETME2022[[#All],[Member Months]], ACOAETME2022[[#All],[Insurance Category Code]], B70, ACOAETME2022[[#All],[ACO/AE or Insurer Overall Organization ID]], 100)</f>
        <v>0</v>
      </c>
      <c r="H70" s="14">
        <f>SUMIFS(AgeSex22[[#All],[Total Member Months by Age/Sex Band]], AgeSex22[[#All],[Insurance Category Code]], B70, AgeSex22[[#All],[ACO/AE ID or Insurer Overall]], 100)</f>
        <v>0</v>
      </c>
      <c r="I70" s="14" t="str">
        <f t="shared" ref="I70:I75" si="8">IF(G70=H70,"Yes",ABS(G70-H70))</f>
        <v>Yes</v>
      </c>
      <c r="J70" s="14" t="str">
        <f>IF(I70="Yes",IF(G70=SUM(R95:R103), "Yes", G70-SUM(R95:R103)))</f>
        <v>Yes</v>
      </c>
    </row>
    <row r="71" spans="2:33" x14ac:dyDescent="0.35">
      <c r="B71" s="3">
        <v>3</v>
      </c>
      <c r="C71" s="14">
        <f>SUMIFS(ACOAETME2021[[#All],[Member Months]], ACOAETME2021[[#All],[Insurance Category Code]], B71, ACOAETME2021[[#All],[ACO/AE or Insurer Overall Organization ID]], 100)</f>
        <v>0</v>
      </c>
      <c r="D71" s="14">
        <f>SUMIFS(AgeSex21[[#All],[Total Member Months by Age/Sex Band]], AgeSex21[[#All],[Insurance Category Code]], B71, AgeSex21[[#All],[ACO/AE ID or Insurer Overall]], 100)</f>
        <v>0</v>
      </c>
      <c r="E71" s="14" t="str">
        <f t="shared" si="7"/>
        <v>Yes</v>
      </c>
      <c r="F71" s="14" t="str">
        <f>IF(E71="Yes",IF(C71=SUM(C109:C117),"Yes",C71-SUM(C109:C117)))</f>
        <v>Yes</v>
      </c>
      <c r="G71" s="14">
        <f>SUMIFS(ACOAETME2022[[#All],[Member Months]], ACOAETME2022[[#All],[Insurance Category Code]], B71, ACOAETME2022[[#All],[ACO/AE or Insurer Overall Organization ID]], 100)</f>
        <v>0</v>
      </c>
      <c r="H71" s="14">
        <f>SUMIFS(AgeSex22[[#All],[Total Member Months by Age/Sex Band]], AgeSex22[[#All],[Insurance Category Code]], B71, AgeSex22[[#All],[ACO/AE ID or Insurer Overall]], 100)</f>
        <v>0</v>
      </c>
      <c r="I71" s="14" t="str">
        <f t="shared" si="8"/>
        <v>Yes</v>
      </c>
      <c r="J71" s="14" t="str">
        <f>IF(I71="Yes",IF(G71=SUM(R109:R117), "Yes", G71-SUM(R109:R117)))</f>
        <v>Yes</v>
      </c>
    </row>
    <row r="72" spans="2:33" x14ac:dyDescent="0.35">
      <c r="B72" s="3">
        <v>4</v>
      </c>
      <c r="C72" s="14">
        <f>SUMIFS(ACOAETME2021[[#All],[Member Months]], ACOAETME2021[[#All],[Insurance Category Code]], B72, ACOAETME2021[[#All],[ACO/AE or Insurer Overall Organization ID]], 100)</f>
        <v>0</v>
      </c>
      <c r="D72" s="3">
        <f>SUMIFS(AgeSex21[[#All],[Total Member Months by Age/Sex Band]], AgeSex21[[#All],[Insurance Category Code]], B72, AgeSex21[[#All],[ACO/AE ID or Insurer Overall]], 100)</f>
        <v>0</v>
      </c>
      <c r="E72" s="14" t="str">
        <f t="shared" si="7"/>
        <v>Yes</v>
      </c>
      <c r="F72" s="14" t="str">
        <f>IF(E72="Yes",IF(C72=SUM(C123:C131),"Yes",C72-SUM(C123:C131)))</f>
        <v>Yes</v>
      </c>
      <c r="G72" s="14">
        <f>SUMIFS(ACOAETME2022[[#All],[Member Months]], ACOAETME2022[[#All],[Insurance Category Code]], B72, ACOAETME2022[[#All],[ACO/AE or Insurer Overall Organization ID]], 100)</f>
        <v>0</v>
      </c>
      <c r="H72" s="14">
        <f>SUMIFS(AgeSex22[[#All],[Total Member Months by Age/Sex Band]], AgeSex22[[#All],[Insurance Category Code]], B72, AgeSex22[[#All],[ACO/AE ID or Insurer Overall]], 100)</f>
        <v>0</v>
      </c>
      <c r="I72" s="14" t="str">
        <f t="shared" si="8"/>
        <v>Yes</v>
      </c>
      <c r="J72" s="14" t="str">
        <f>IF(I72="Yes",IF(G72=SUM(R123:R131), "Yes", G72-SUM(R123:R131)))</f>
        <v>Yes</v>
      </c>
    </row>
    <row r="73" spans="2:33" x14ac:dyDescent="0.35">
      <c r="B73" s="3">
        <v>5</v>
      </c>
      <c r="C73" s="14">
        <f>SUMIFS(ACOAETME2021[[#All],[Member Months]], ACOAETME2021[[#All],[Insurance Category Code]], B73, ACOAETME2021[[#All],[ACO/AE or Insurer Overall Organization ID]], 100)</f>
        <v>0</v>
      </c>
      <c r="D73" s="3">
        <f>SUMIFS(AgeSex21[[#All],[Total Member Months by Age/Sex Band]], AgeSex21[[#All],[Insurance Category Code]], B73, AgeSex21[[#All],[ACO/AE ID or Insurer Overall]], 100)</f>
        <v>0</v>
      </c>
      <c r="E73" s="14" t="str">
        <f t="shared" si="7"/>
        <v>Yes</v>
      </c>
      <c r="F73" s="14" t="str">
        <f>IF(E73="Yes",IF(C73=SUM(C137:C145),"Yes",C73-SUM(C137:C145)))</f>
        <v>Yes</v>
      </c>
      <c r="G73" s="14">
        <f>SUMIFS(ACOAETME2022[[#All],[Member Months]], ACOAETME2022[[#All],[Insurance Category Code]], B73, ACOAETME2022[[#All],[ACO/AE or Insurer Overall Organization ID]], 100)</f>
        <v>0</v>
      </c>
      <c r="H73" s="14">
        <f>SUMIFS(AgeSex22[[#All],[Total Member Months by Age/Sex Band]], AgeSex22[[#All],[Insurance Category Code]], B73, AgeSex22[[#All],[ACO/AE ID or Insurer Overall]], 100)</f>
        <v>0</v>
      </c>
      <c r="I73" s="14" t="str">
        <f t="shared" si="8"/>
        <v>Yes</v>
      </c>
      <c r="J73" s="14" t="str">
        <f>IF(I73="Yes",IF(G73=SUM(R137:R145), "Yes", G73-SUM(R137:R145)))</f>
        <v>Yes</v>
      </c>
    </row>
    <row r="74" spans="2:33" x14ac:dyDescent="0.35">
      <c r="B74" s="3">
        <v>6</v>
      </c>
      <c r="C74" s="14">
        <v>0</v>
      </c>
      <c r="D74" s="3">
        <v>0</v>
      </c>
      <c r="E74" s="14" t="str">
        <f t="shared" si="7"/>
        <v>Yes</v>
      </c>
      <c r="F74" s="14" t="s">
        <v>144</v>
      </c>
      <c r="G74" s="14">
        <f>SUMIFS(ACOAETME2022[[#All],[Member Months]], ACOAETME2022[[#All],[Insurance Category Code]], B74, ACOAETME2022[[#All],[ACO/AE or Insurer Overall Organization ID]], 100)</f>
        <v>0</v>
      </c>
      <c r="H74" s="14">
        <f>SUMIFS(AgeSex22[[#All],[Total Member Months by Age/Sex Band]], AgeSex22[[#All],[Insurance Category Code]], B74, AgeSex22[[#All],[ACO/AE ID or Insurer Overall]], 100)</f>
        <v>0</v>
      </c>
      <c r="I74" s="14" t="str">
        <f t="shared" si="8"/>
        <v>Yes</v>
      </c>
      <c r="J74" s="14" t="s">
        <v>144</v>
      </c>
    </row>
    <row r="75" spans="2:33" x14ac:dyDescent="0.35">
      <c r="B75" s="3">
        <v>7</v>
      </c>
      <c r="C75" s="14">
        <f>SUMIFS(ACOAETME2021[[#All],[Member Months]], ACOAETME2021[[#All],[Insurance Category Code]], B75, ACOAETME2021[[#All],[ACO/AE or Insurer Overall Organization ID]], 100)</f>
        <v>0</v>
      </c>
      <c r="D75" s="14">
        <f>SUMIFS(AgeSex21[[#All],[Total Member Months by Age/Sex Band]], AgeSex21[[#All],[Insurance Category Code]], B75, AgeSex21[[#All],[ACO/AE ID or Insurer Overall]], 100)</f>
        <v>0</v>
      </c>
      <c r="E75" s="14" t="str">
        <f t="shared" si="7"/>
        <v>Yes</v>
      </c>
      <c r="F75" s="14" t="str">
        <f>IF(E75="Yes", IF(C75=C151, "Yes", C75-C151))</f>
        <v>Yes</v>
      </c>
      <c r="G75" s="14">
        <f>SUMIFS(ACOAETME2022[[#All],[Member Months]], ACOAETME2022[[#All],[Insurance Category Code]], B75, ACOAETME2022[[#All],[ACO/AE or Insurer Overall Organization ID]], 100)</f>
        <v>0</v>
      </c>
      <c r="H75" s="14">
        <f>SUMIFS(AgeSex22[[#All],[Total Member Months by Age/Sex Band]], AgeSex22[[#All],[Insurance Category Code]], B75, AgeSex22[[#All],[ACO/AE ID or Insurer Overall]], 100)</f>
        <v>0</v>
      </c>
      <c r="I75" s="14" t="str">
        <f t="shared" si="8"/>
        <v>Yes</v>
      </c>
      <c r="J75" s="14" t="str">
        <f>IF(I75="Yes", IF(G75=R151, "Yes", G75-R151))</f>
        <v>Yes</v>
      </c>
    </row>
    <row r="76" spans="2:33" x14ac:dyDescent="0.35">
      <c r="B76" s="514" t="s">
        <v>767</v>
      </c>
      <c r="C76" s="355"/>
      <c r="D76" s="10"/>
      <c r="E76" s="355"/>
    </row>
    <row r="78" spans="2:33" ht="15" thickBot="1" x14ac:dyDescent="0.4">
      <c r="B78" s="356" t="s">
        <v>693</v>
      </c>
    </row>
    <row r="79" spans="2:33" ht="24" thickBot="1" x14ac:dyDescent="0.6">
      <c r="B79" s="433" t="s">
        <v>694</v>
      </c>
      <c r="C79" s="594" t="s">
        <v>696</v>
      </c>
      <c r="D79" s="595"/>
      <c r="E79" s="595"/>
      <c r="F79" s="595"/>
      <c r="G79" s="596"/>
      <c r="H79" s="597" t="s">
        <v>697</v>
      </c>
      <c r="I79" s="598"/>
      <c r="J79" s="598"/>
      <c r="K79" s="598"/>
      <c r="L79" s="599"/>
      <c r="M79" s="591" t="s">
        <v>698</v>
      </c>
      <c r="N79" s="592"/>
      <c r="O79" s="593"/>
      <c r="Q79" s="433" t="s">
        <v>694</v>
      </c>
      <c r="R79" s="594" t="s">
        <v>711</v>
      </c>
      <c r="S79" s="595"/>
      <c r="T79" s="595"/>
      <c r="U79" s="595"/>
      <c r="V79" s="596"/>
      <c r="W79" s="597" t="s">
        <v>712</v>
      </c>
      <c r="X79" s="598"/>
      <c r="Y79" s="598"/>
      <c r="Z79" s="598"/>
      <c r="AA79" s="599"/>
      <c r="AB79" s="591" t="s">
        <v>698</v>
      </c>
      <c r="AC79" s="592"/>
      <c r="AD79" s="593"/>
    </row>
    <row r="80" spans="2:33" ht="87" x14ac:dyDescent="0.35">
      <c r="B80" s="434" t="s">
        <v>695</v>
      </c>
      <c r="C80" s="432" t="s">
        <v>228</v>
      </c>
      <c r="D80" s="424" t="s">
        <v>195</v>
      </c>
      <c r="E80" s="424" t="s">
        <v>699</v>
      </c>
      <c r="F80" s="424" t="s">
        <v>244</v>
      </c>
      <c r="G80" s="425" t="s">
        <v>194</v>
      </c>
      <c r="H80" s="426" t="s">
        <v>87</v>
      </c>
      <c r="I80" s="427" t="s">
        <v>700</v>
      </c>
      <c r="J80" s="427" t="s">
        <v>701</v>
      </c>
      <c r="K80" s="427" t="s">
        <v>702</v>
      </c>
      <c r="L80" s="428" t="s">
        <v>703</v>
      </c>
      <c r="M80" s="429" t="s">
        <v>704</v>
      </c>
      <c r="N80" s="430" t="s">
        <v>705</v>
      </c>
      <c r="O80" s="431" t="s">
        <v>706</v>
      </c>
      <c r="Q80" s="434" t="s">
        <v>695</v>
      </c>
      <c r="R80" s="432" t="s">
        <v>228</v>
      </c>
      <c r="S80" s="424" t="s">
        <v>195</v>
      </c>
      <c r="T80" s="424" t="s">
        <v>699</v>
      </c>
      <c r="U80" s="424" t="s">
        <v>244</v>
      </c>
      <c r="V80" s="425" t="s">
        <v>194</v>
      </c>
      <c r="W80" s="426" t="s">
        <v>87</v>
      </c>
      <c r="X80" s="427" t="s">
        <v>700</v>
      </c>
      <c r="Y80" s="427" t="s">
        <v>701</v>
      </c>
      <c r="Z80" s="427" t="s">
        <v>702</v>
      </c>
      <c r="AA80" s="428" t="s">
        <v>703</v>
      </c>
      <c r="AB80" s="429" t="s">
        <v>704</v>
      </c>
      <c r="AC80" s="430" t="s">
        <v>705</v>
      </c>
      <c r="AD80" s="431" t="s">
        <v>706</v>
      </c>
      <c r="AG80" s="484" t="s">
        <v>750</v>
      </c>
    </row>
    <row r="81" spans="2:33" x14ac:dyDescent="0.35">
      <c r="B81" s="115">
        <v>100</v>
      </c>
      <c r="C81" s="192">
        <f>ROUND(SUMIFS(AgeSex21[[#All],[Total Member Months by Age/Sex Band]], AgeSex21[[#All],[ACO/AE ID or Insurer Overall]], $B81, AgeSex21[[#All], [Insurance Category Code]],1), 2)</f>
        <v>0</v>
      </c>
      <c r="D81" s="452">
        <f>ROUND(SUMIFS(AgeSex21[[#All],[Total Dollars Excluded from Spending After Applying Truncation at the Member Level]], AgeSex21[[#All],[ACO/AE ID or Insurer Overall]], $B81, AgeSex21[[#All], [Insurance Category Code]],1), 2)</f>
        <v>0</v>
      </c>
      <c r="E81" s="6">
        <f>ROUND(SUMIFS(AgeSex21[[#All],[Count of Members Whose Spending was Truncated]], AgeSex21[[#All],[ACO/AE ID or Insurer Overall]], $B81, AgeSex21[[#All], [Insurance Category Code]],1), 2)</f>
        <v>0</v>
      </c>
      <c r="F81" s="452">
        <f>ROUND(SUMIFS(AgeSex21[[#All],[Total Spending before Truncation is Applied]], AgeSex21[[#All],[ACO/AE ID or Insurer Overall]], $B81, AgeSex21[[#All], [Insurance Category Code]],1), 2)</f>
        <v>0</v>
      </c>
      <c r="G81" s="452">
        <f>ROUND(SUMIFS(AgeSex21[[#All],[Total Spending After Applying Truncation at the Member Level]], AgeSex21[[#All],[ACO/AE ID or Insurer Overall]], $B81, AgeSex21[[#All], [Insurance Category Code]],1), 2)</f>
        <v>0</v>
      </c>
      <c r="H81" s="6" t="str">
        <f>IF(C81=ROUND(SUMIFS(ACOAETME2021[[#All],[Member Months]], ACOAETME2021[[#All],[Insurance Category Code]],1, ACOAETME2021[[#All],[ACO/AE or Insurer Overall Organization ID]],B81),2), "TRUE", ROUND(C81-SUMIFS(ACOAETME2021[[#All],[Member Months]], ACOAETME2021[[#All],[Insurance Category Code]],1, ACOAETME2021[[#All],[ACO/AE or Insurer Overall Organization ID]],B81),2))</f>
        <v>TRUE</v>
      </c>
      <c r="I81" s="6" t="str">
        <f>IF(D81=ROUND(SUMIFS(ACOAETME2021[[#All],[Total Claims Excluded because of Truncation]], ACOAETME2021[[#All],[Insurance Category Code]],1, ACOAETME2021[[#All],[ACO/AE or Insurer Overall Organization ID]],B81),2), "TRUE", ROUND(D81-SUMIFS(ACOAETME2021[[#All],[Total Claims Excluded because of Truncation]], ACOAETME2021[[#All],[Insurance Category Code]],1, ACOAETME2021[[#All],[ACO/AE or Insurer Overall Organization ID]],B81),2))</f>
        <v>TRUE</v>
      </c>
      <c r="J81" s="6" t="str">
        <f>IF(E81=ROUND(SUMIFS(ACOAETME2021[[#All],[Count of Members with Claims Truncated]], ACOAETME2021[[#All],[Insurance Category Code]],1, ACOAETME2021[[#All],[ACO/AE or Insurer Overall Organization ID]],B81),2), "TRUE", ROUND(E81-SUMIFS(ACOAETME2021[[#All],[Count of Members with Claims Truncated]], ACOAETME2021[[#All],[Insurance Category Code]],1, ACOAETME2021[[#All],[ACO/AE or Insurer Overall Organization ID]],B81),2))</f>
        <v>TRUE</v>
      </c>
      <c r="K81" s="6" t="str">
        <f>IF(F81=ROUND(SUMIFS(ACOAETME2021[[#All],[TOTAL Non-Truncated Unadjusted Claims Expenses]], ACOAETME2021[[#All],[Insurance Category Code]],1, ACOAETME2021[[#All],[ACO/AE or Insurer Overall Organization ID]],B81),2), "TRUE", ROUND(F81-SUMIFS(ACOAETME2021[[#All],[TOTAL Non-Truncated Unadjusted Claims Expenses]], ACOAETME2021[[#All],[Insurance Category Code]],1, ACOAETME2021[[#All],[ACO/AE or Insurer Overall Organization ID]],B81),2))</f>
        <v>TRUE</v>
      </c>
      <c r="L81" s="6" t="str">
        <f>IF(G81=ROUND(SUMIFS(ACOAETME2021[[#All],[TOTAL Truncated Unadjusted Claims Expenses (A19 - A17)]], ACOAETME2021[[#All],[Insurance Category Code]],1, ACOAETME2021[[#All],[ACO/AE or Insurer Overall Organization ID]],B81),2), "TRUE", ROUND(G81-SUMIFS(ACOAETME2021[[#All],[TOTAL Truncated Unadjusted Claims Expenses (A19 - A17)]], ACOAETME2021[[#All],[Insurance Category Code]],1, ACOAETME2021[[#All],[ACO/AE or Insurer Overall Organization ID]],B81),2))</f>
        <v>TRUE</v>
      </c>
      <c r="M81" s="6" t="str">
        <f>IF(E81=0, "TRUE",IF((C81/12)&gt;E81,"TRUE",(C81/12)-E81))</f>
        <v>TRUE</v>
      </c>
      <c r="N81" s="6" t="b">
        <f>ROUND(SUMIFS(ACOAETME2021[[#All],[TOTAL Non-Truncated Unadjusted Claims Expenses]], ACOAETME2021[[#All],[Insurance Category Code]],1, ACOAETME2021[[#All],[ACO/AE or Insurer Overall Organization ID]],B81), 2)&gt;=ROUND(SUMIFS(ACOAETME2021[[#All],[TOTAL Truncated Unadjusted Claims Expenses (A19 - A17)]], ACOAETME2021[[#All],[Insurance Category Code]],1, ACOAETME2021[[#All],[ACO/AE or Insurer Overall Organization ID]],B81),2)</f>
        <v>1</v>
      </c>
      <c r="O81" s="6" t="b">
        <f>ROUND(SUMIFS(ACOAETME2021[[#All],[TOTAL Truncated Unadjusted Claims Expenses (A19 - A17)]], ACOAETME2021[[#All],[Insurance Category Code]],1, ACOAETME2021[[#All],[ACO/AE or Insurer Overall Organization ID]],B81)+SUMIFS(ACOAETME2021[[#All],[Total Claims Excluded because of Truncation]], ACOAETME2021[[#All],[Insurance Category Code]],1, ACOAETME2021[[#All],[ACO/AE or Insurer Overall Organization ID]],B81),2)=ROUND(SUMIFS(ACOAETME2021[[#All],[TOTAL Non-Truncated Unadjusted Claims Expenses]], ACOAETME2021[[#All],[Insurance Category Code]],1, ACOAETME2021[[#All],[ACO/AE or Insurer Overall Organization ID]],B81), 2)</f>
        <v>1</v>
      </c>
      <c r="Q81" s="115">
        <v>100</v>
      </c>
      <c r="R81" s="194">
        <f>ROUND(SUMIFS(AgeSex22[[#All],[Total Member Months by Age/Sex Band]], AgeSex22[[#All],[ACO/AE ID or Insurer Overall]], $B81, AgeSex22[[#All], [Insurance Category Code]],1), 2)</f>
        <v>0</v>
      </c>
      <c r="S81" s="452">
        <f>ROUND(SUMIFS(AgeSex22[[#All],[Total Dollars Excluded from Spending After Applying Truncation at the Member Level]], AgeSex22[[#All],[ACO/AE ID or Insurer Overall]], $B81, AgeSex22[[#All], [Insurance Category Code]],1), 2)</f>
        <v>0</v>
      </c>
      <c r="T81" s="6">
        <f>ROUND(SUMIFS(AgeSex22[[#All],[Count of Members Whose Spending was Truncated]], AgeSex22[[#All],[ACO/AE ID or Insurer Overall]], $B81, AgeSex22[[#All], [Insurance Category Code]],1), 2)</f>
        <v>0</v>
      </c>
      <c r="U81" s="452">
        <f>ROUND(SUMIFS(AgeSex22[[#All],[Total Spending before Truncation is Applied]], AgeSex22[[#All],[ACO/AE ID or Insurer Overall]], $B81, AgeSex22[[#All], [Insurance Category Code]],1), 2)</f>
        <v>0</v>
      </c>
      <c r="V81" s="452">
        <f>ROUND(SUMIFS(AgeSex22[[#All],[Total Spending After Applying Truncation at the Member Level]], AgeSex22[[#All],[ACO/AE ID or Insurer Overall]], $B81, AgeSex22[[#All], [Insurance Category Code]],1), 2)</f>
        <v>0</v>
      </c>
      <c r="W81" s="457" t="str">
        <f>IF(R81=ROUND(SUMIFS(ACOAETME2022[[#All],[Member Months]], ACOAETME2022[[#All],[Insurance Category Code]],1, ACOAETME2022[[#All],[ACO/AE or Insurer Overall Organization ID]],Q81),2), "TRUE", ROUND(R81-SUMIFS(ACOAETME2022[[#All],[Member Months]], ACOAETME2022[[#All],[Insurance Category Code]],1, ACOAETME2022[[#All],[ACO/AE or Insurer Overall Organization ID]],Q81),2))</f>
        <v>TRUE</v>
      </c>
      <c r="X81" s="6" t="str">
        <f>IF(S81=ROUND(SUMIFS(ACOAETME2022[[#All],[Total Claims Excluded because of Truncation]], ACOAETME2022[[#All],[Insurance Category Code]],1, ACOAETME2022[[#All],[ACO/AE or Insurer Overall Organization ID]],Q81),2), "TRUE", ROUND(S81-SUMIFS(ACOAETME2022[[#All],[Total Claims Excluded because of Truncation]], ACOAETME2022[[#All],[Insurance Category Code]],1, ACOAETME2022[[#All],[ACO/AE or Insurer Overall Organization ID]],Q81),2))</f>
        <v>TRUE</v>
      </c>
      <c r="Y81" s="6" t="str">
        <f>IF(T81=ROUND(SUMIFS(ACOAETME2022[[#All],[Count of Members with Claims Truncated]], ACOAETME2022[[#All],[Insurance Category Code]],1, ACOAETME2022[[#All],[ACO/AE or Insurer Overall Organization ID]],Q81),2), "TRUE", ROUND(T81-SUMIFS(ACOAETME2022[[#All],[Count of Members with Claims Truncated]], ACOAETME2022[[#All],[Insurance Category Code]],1, ACOAETME2022[[#All],[ACO/AE or Insurer Overall Organization ID]],Q81),2))</f>
        <v>TRUE</v>
      </c>
      <c r="Z81" s="6" t="str">
        <f>IF(U81=ROUND(SUMIFS(ACOAETME2022[[#All],[TOTAL Non-Truncated Unadjusted Claims Expenses]], ACOAETME2022[[#All],[Insurance Category Code]],1, ACOAETME2022[[#All],[ACO/AE or Insurer Overall Organization ID]],Q81),2), "TRUE", ROUND(U81-SUMIFS(ACOAETME2022[[#All],[TOTAL Non-Truncated Unadjusted Claims Expenses]], ACOAETME2022[[#All],[Insurance Category Code]],1, ACOAETME2022[[#All],[ACO/AE or Insurer Overall Organization ID]],Q81),2))</f>
        <v>TRUE</v>
      </c>
      <c r="AA81" s="6" t="str">
        <f>IF(V81=ROUND(SUMIFS(ACOAETME2022[[#All],[TOTAL Truncated Unadjusted Claims Expenses (A19 - A17)]], ACOAETME2022[[#All],[Insurance Category Code]],1, ACOAETME2022[[#All],[ACO/AE or Insurer Overall Organization ID]],Q81),2), "TRUE", ROUND(V81-SUMIFS(ACOAETME2022[[#All],[TOTAL Truncated Unadjusted Claims Expenses (A19 - A17)]], ACOAETME2022[[#All],[Insurance Category Code]],1, ACOAETME2022[[#All],[ACO/AE or Insurer Overall Organization ID]],Q81),2))</f>
        <v>TRUE</v>
      </c>
      <c r="AB81" s="6" t="str">
        <f>IF(T81=0, "TRUE",IF((R81/12)&gt;T81,"TRUE",(R81/12)-T81))</f>
        <v>TRUE</v>
      </c>
      <c r="AC81" s="6" t="b">
        <f>ROUND(SUMIFS(ACOAETME2022[[#All],[TOTAL Non-Truncated Unadjusted Claims Expenses]], ACOAETME2022[[#All],[Insurance Category Code]],1, ACOAETME2022[[#All],[ACO/AE or Insurer Overall Organization ID]],Q81), 2)&gt;=ROUND(SUMIFS(ACOAETME2022[[#All],[TOTAL Truncated Unadjusted Claims Expenses (A19 - A17)]], ACOAETME2022[[#All],[Insurance Category Code]],1, ACOAETME2022[[#All],[ACO/AE or Insurer Overall Organization ID]],Q81),2)</f>
        <v>1</v>
      </c>
      <c r="AD81" s="6" t="b">
        <f>ROUND(SUMIFS(ACOAETME2022[[#All],[TOTAL Truncated Unadjusted Claims Expenses (A19 - A17)]], ACOAETME2022[[#All],[Insurance Category Code]],1, ACOAETME2022[[#All],[ACO/AE or Insurer Overall Organization ID]],Q81)+SUMIFS(ACOAETME2022[[#All],[Total Claims Excluded because of Truncation]], ACOAETME2022[[#All],[Insurance Category Code]],1, ACOAETME2022[[#All],[ACO/AE or Insurer Overall Organization ID]],Q81),2)=ROUND(SUMIFS(ACOAETME2022[[#All],[TOTAL Non-Truncated Unadjusted Claims Expenses]], ACOAETME2022[[#All],[Insurance Category Code]],1, ACOAETME2022[[#All],[ACO/AE or Insurer Overall Organization ID]],Q81), 2)</f>
        <v>1</v>
      </c>
      <c r="AG81" s="454" t="str">
        <f>IFERROR(R81/C81-1, "0")</f>
        <v>0</v>
      </c>
    </row>
    <row r="82" spans="2:33" x14ac:dyDescent="0.35">
      <c r="B82" s="115">
        <v>101</v>
      </c>
      <c r="C82" s="192">
        <f>ROUND(SUMIFS(AgeSex21[[#All],[Total Member Months by Age/Sex Band]], AgeSex21[[#All],[ACO/AE ID or Insurer Overall]], $B82, AgeSex21[[#All], [Insurance Category Code]],1), 2)</f>
        <v>0</v>
      </c>
      <c r="D82" s="452">
        <f>ROUND(SUMIFS(AgeSex21[[#All],[Total Dollars Excluded from Spending After Applying Truncation at the Member Level]], AgeSex21[[#All],[ACO/AE ID or Insurer Overall]], $B82, AgeSex21[[#All], [Insurance Category Code]],1), 2)</f>
        <v>0</v>
      </c>
      <c r="E82" s="6">
        <f>ROUND(SUMIFS(AgeSex21[[#All],[Count of Members Whose Spending was Truncated]], AgeSex21[[#All],[ACO/AE ID or Insurer Overall]], $B82, AgeSex21[[#All], [Insurance Category Code]],1), 2)</f>
        <v>0</v>
      </c>
      <c r="F82" s="452">
        <f>ROUND(SUMIFS(AgeSex21[[#All],[Total Spending before Truncation is Applied]], AgeSex21[[#All],[ACO/AE ID or Insurer Overall]], $B82, AgeSex21[[#All], [Insurance Category Code]],1), 2)</f>
        <v>0</v>
      </c>
      <c r="G82" s="452">
        <f>ROUND(SUMIFS(AgeSex21[[#All],[Total Spending After Applying Truncation at the Member Level]], AgeSex21[[#All],[ACO/AE ID or Insurer Overall]], $B82, AgeSex21[[#All], [Insurance Category Code]],1), 2)</f>
        <v>0</v>
      </c>
      <c r="H82" s="6" t="str">
        <f>IF(C82=ROUND(SUMIFS(ACOAETME2021[[#All],[Member Months]], ACOAETME2021[[#All],[Insurance Category Code]],1, ACOAETME2021[[#All],[ACO/AE or Insurer Overall Organization ID]],B82),2), "TRUE", ROUND(C82-SUMIFS(ACOAETME2021[[#All],[Member Months]], ACOAETME2021[[#All],[Insurance Category Code]],1, ACOAETME2021[[#All],[ACO/AE or Insurer Overall Organization ID]],B82),2))</f>
        <v>TRUE</v>
      </c>
      <c r="I82" s="6" t="str">
        <f>IF(D82=ROUND(SUMIFS(ACOAETME2021[[#All],[Total Claims Excluded because of Truncation]], ACOAETME2021[[#All],[Insurance Category Code]],1, ACOAETME2021[[#All],[ACO/AE or Insurer Overall Organization ID]],B82),2), "TRUE", ROUND(D82-SUMIFS(ACOAETME2021[[#All],[Total Claims Excluded because of Truncation]], ACOAETME2021[[#All],[Insurance Category Code]],1, ACOAETME2021[[#All],[ACO/AE or Insurer Overall Organization ID]],B82),2))</f>
        <v>TRUE</v>
      </c>
      <c r="J82" s="6" t="str">
        <f>IF(E82=ROUND(SUMIFS(ACOAETME2021[[#All],[Count of Members with Claims Truncated]], ACOAETME2021[[#All],[Insurance Category Code]],1, ACOAETME2021[[#All],[ACO/AE or Insurer Overall Organization ID]],B82),2), "TRUE", ROUND(E82-SUMIFS(ACOAETME2021[[#All],[Count of Members with Claims Truncated]], ACOAETME2021[[#All],[Insurance Category Code]],1, ACOAETME2021[[#All],[ACO/AE or Insurer Overall Organization ID]],B82),2))</f>
        <v>TRUE</v>
      </c>
      <c r="K82" s="6" t="str">
        <f>IF(F82=ROUND(SUMIFS(ACOAETME2021[[#All],[TOTAL Non-Truncated Unadjusted Claims Expenses]], ACOAETME2021[[#All],[Insurance Category Code]],1, ACOAETME2021[[#All],[ACO/AE or Insurer Overall Organization ID]],B82),2), "TRUE", ROUND(F82-SUMIFS(ACOAETME2021[[#All],[TOTAL Non-Truncated Unadjusted Claims Expenses]], ACOAETME2021[[#All],[Insurance Category Code]],1, ACOAETME2021[[#All],[ACO/AE or Insurer Overall Organization ID]],B82),2))</f>
        <v>TRUE</v>
      </c>
      <c r="L82" s="6" t="str">
        <f>IF(G82=ROUND(SUMIFS(ACOAETME2021[[#All],[TOTAL Truncated Unadjusted Claims Expenses (A19 - A17)]], ACOAETME2021[[#All],[Insurance Category Code]],1, ACOAETME2021[[#All],[ACO/AE or Insurer Overall Organization ID]],B82),2), "TRUE", ROUND(G82-SUMIFS(ACOAETME2021[[#All],[TOTAL Truncated Unadjusted Claims Expenses (A19 - A17)]], ACOAETME2021[[#All],[Insurance Category Code]],1, ACOAETME2021[[#All],[ACO/AE or Insurer Overall Organization ID]],B82),2))</f>
        <v>TRUE</v>
      </c>
      <c r="M82" s="6" t="str">
        <f t="shared" ref="M82:M89" si="9">IF(E82=0, "TRUE",IF((C82/12)&gt;E82,"TRUE",(C82/12)-E82))</f>
        <v>TRUE</v>
      </c>
      <c r="N82" s="6" t="b">
        <f>ROUND(SUMIFS(ACOAETME2021[[#All],[TOTAL Non-Truncated Unadjusted Claims Expenses]], ACOAETME2021[[#All],[Insurance Category Code]],1, ACOAETME2021[[#All],[ACO/AE or Insurer Overall Organization ID]],B82), 2)&gt;=ROUND(SUMIFS(ACOAETME2021[[#All],[TOTAL Truncated Unadjusted Claims Expenses (A19 - A17)]], ACOAETME2021[[#All],[Insurance Category Code]],1, ACOAETME2021[[#All],[ACO/AE or Insurer Overall Organization ID]],B82),2)</f>
        <v>1</v>
      </c>
      <c r="O82" s="6" t="b">
        <f>ROUND(SUMIFS(ACOAETME2021[[#All],[TOTAL Truncated Unadjusted Claims Expenses (A19 - A17)]], ACOAETME2021[[#All],[Insurance Category Code]],1, ACOAETME2021[[#All],[ACO/AE or Insurer Overall Organization ID]],B82)+SUMIFS(ACOAETME2021[[#All],[Total Claims Excluded because of Truncation]], ACOAETME2021[[#All],[Insurance Category Code]],1, ACOAETME2021[[#All],[ACO/AE or Insurer Overall Organization ID]],B82),2)=ROUND(SUMIFS(ACOAETME2021[[#All],[TOTAL Non-Truncated Unadjusted Claims Expenses]], ACOAETME2021[[#All],[Insurance Category Code]],1, ACOAETME2021[[#All],[ACO/AE or Insurer Overall Organization ID]],B82), 2)</f>
        <v>1</v>
      </c>
      <c r="Q82" s="115">
        <v>101</v>
      </c>
      <c r="R82" s="194">
        <f>ROUND(SUMIFS(AgeSex22[[#All],[Total Member Months by Age/Sex Band]], AgeSex22[[#All],[ACO/AE ID or Insurer Overall]], $B82, AgeSex22[[#All], [Insurance Category Code]],1), 2)</f>
        <v>0</v>
      </c>
      <c r="S82" s="452">
        <f>ROUND(SUMIFS(AgeSex22[[#All],[Total Dollars Excluded from Spending After Applying Truncation at the Member Level]], AgeSex22[[#All],[ACO/AE ID or Insurer Overall]], $B82, AgeSex22[[#All], [Insurance Category Code]],1), 2)</f>
        <v>0</v>
      </c>
      <c r="T82" s="6">
        <f>ROUND(SUMIFS(AgeSex22[[#All],[Count of Members Whose Spending was Truncated]], AgeSex22[[#All],[ACO/AE ID or Insurer Overall]], $B82, AgeSex22[[#All], [Insurance Category Code]],1), 2)</f>
        <v>0</v>
      </c>
      <c r="U82" s="452">
        <f>ROUND(SUMIFS(AgeSex22[[#All],[Total Spending before Truncation is Applied]], AgeSex22[[#All],[ACO/AE ID or Insurer Overall]], $B82, AgeSex22[[#All], [Insurance Category Code]],1), 2)</f>
        <v>0</v>
      </c>
      <c r="V82" s="452">
        <f>ROUND(SUMIFS(AgeSex22[[#All],[Total Spending After Applying Truncation at the Member Level]], AgeSex22[[#All],[ACO/AE ID or Insurer Overall]], $B82, AgeSex22[[#All], [Insurance Category Code]],1), 2)</f>
        <v>0</v>
      </c>
      <c r="W82" s="457" t="str">
        <f>IF(R82=ROUND(SUMIFS(ACOAETME2022[[#All],[Member Months]], ACOAETME2022[[#All],[Insurance Category Code]],1, ACOAETME2022[[#All],[ACO/AE or Insurer Overall Organization ID]],Q82),2), "TRUE", ROUND(R82-SUMIFS(ACOAETME2022[[#All],[Member Months]], ACOAETME2022[[#All],[Insurance Category Code]],1, ACOAETME2022[[#All],[ACO/AE or Insurer Overall Organization ID]],Q82),2))</f>
        <v>TRUE</v>
      </c>
      <c r="X82" s="6" t="str">
        <f>IF(S82=ROUND(SUMIFS(ACOAETME2022[[#All],[Total Claims Excluded because of Truncation]], ACOAETME2022[[#All],[Insurance Category Code]],1, ACOAETME2022[[#All],[ACO/AE or Insurer Overall Organization ID]],Q82),2), "TRUE", ROUND(S82-SUMIFS(ACOAETME2022[[#All],[Total Claims Excluded because of Truncation]], ACOAETME2022[[#All],[Insurance Category Code]],1, ACOAETME2022[[#All],[ACO/AE or Insurer Overall Organization ID]],Q82),2))</f>
        <v>TRUE</v>
      </c>
      <c r="Y82" s="6" t="str">
        <f>IF(T82=ROUND(SUMIFS(ACOAETME2022[[#All],[Count of Members with Claims Truncated]], ACOAETME2022[[#All],[Insurance Category Code]],1, ACOAETME2022[[#All],[ACO/AE or Insurer Overall Organization ID]],Q82),2), "TRUE", ROUND(T82-SUMIFS(ACOAETME2022[[#All],[Count of Members with Claims Truncated]], ACOAETME2022[[#All],[Insurance Category Code]],1, ACOAETME2022[[#All],[ACO/AE or Insurer Overall Organization ID]],Q82),2))</f>
        <v>TRUE</v>
      </c>
      <c r="Z82" s="6" t="str">
        <f>IF(U82=ROUND(SUMIFS(ACOAETME2022[[#All],[TOTAL Non-Truncated Unadjusted Claims Expenses]], ACOAETME2022[[#All],[Insurance Category Code]],1, ACOAETME2022[[#All],[ACO/AE or Insurer Overall Organization ID]],Q82),2), "TRUE", ROUND(U82-SUMIFS(ACOAETME2022[[#All],[TOTAL Non-Truncated Unadjusted Claims Expenses]], ACOAETME2022[[#All],[Insurance Category Code]],1, ACOAETME2022[[#All],[ACO/AE or Insurer Overall Organization ID]],Q82),2))</f>
        <v>TRUE</v>
      </c>
      <c r="AA82" s="6" t="str">
        <f>IF(V82=ROUND(SUMIFS(ACOAETME2022[[#All],[TOTAL Truncated Unadjusted Claims Expenses (A19 - A17)]], ACOAETME2022[[#All],[Insurance Category Code]],1, ACOAETME2022[[#All],[ACO/AE or Insurer Overall Organization ID]],Q82),2), "TRUE", ROUND(V82-SUMIFS(ACOAETME2022[[#All],[TOTAL Truncated Unadjusted Claims Expenses (A19 - A17)]], ACOAETME2022[[#All],[Insurance Category Code]],1, ACOAETME2022[[#All],[ACO/AE or Insurer Overall Organization ID]],Q82),2))</f>
        <v>TRUE</v>
      </c>
      <c r="AB82" s="6" t="str">
        <f t="shared" ref="AB82:AB89" si="10">IF(T82=0, "TRUE",IF((R82/12)&gt;T82,"TRUE",(R82/12)-T82))</f>
        <v>TRUE</v>
      </c>
      <c r="AC82" s="6" t="b">
        <f>ROUND(SUMIFS(ACOAETME2022[[#All],[TOTAL Non-Truncated Unadjusted Claims Expenses]], ACOAETME2022[[#All],[Insurance Category Code]],1, ACOAETME2022[[#All],[ACO/AE or Insurer Overall Organization ID]],Q82), 2)&gt;=ROUND(SUMIFS(ACOAETME2022[[#All],[TOTAL Truncated Unadjusted Claims Expenses (A19 - A17)]], ACOAETME2022[[#All],[Insurance Category Code]],1, ACOAETME2022[[#All],[ACO/AE or Insurer Overall Organization ID]],Q82),2)</f>
        <v>1</v>
      </c>
      <c r="AD82" s="6" t="b">
        <f>ROUND(SUMIFS(ACOAETME2022[[#All],[TOTAL Truncated Unadjusted Claims Expenses (A19 - A17)]], ACOAETME2022[[#All],[Insurance Category Code]],1, ACOAETME2022[[#All],[ACO/AE or Insurer Overall Organization ID]],Q82)+SUMIFS(ACOAETME2022[[#All],[Total Claims Excluded because of Truncation]], ACOAETME2022[[#All],[Insurance Category Code]],1, ACOAETME2022[[#All],[ACO/AE or Insurer Overall Organization ID]],Q82),2)=ROUND(SUMIFS(ACOAETME2022[[#All],[TOTAL Non-Truncated Unadjusted Claims Expenses]], ACOAETME2022[[#All],[Insurance Category Code]],1, ACOAETME2022[[#All],[ACO/AE or Insurer Overall Organization ID]],Q82), 2)</f>
        <v>1</v>
      </c>
      <c r="AG82" s="454" t="str">
        <f t="shared" ref="AG82:AG90" si="11">IFERROR(R82/C82-1, "NA")</f>
        <v>NA</v>
      </c>
    </row>
    <row r="83" spans="2:33" x14ac:dyDescent="0.35">
      <c r="B83" s="115">
        <v>102</v>
      </c>
      <c r="C83" s="192">
        <f>ROUND(SUMIFS(AgeSex21[[#All],[Total Member Months by Age/Sex Band]], AgeSex21[[#All],[ACO/AE ID or Insurer Overall]], $B83, AgeSex21[[#All], [Insurance Category Code]],1), 2)</f>
        <v>0</v>
      </c>
      <c r="D83" s="452">
        <f>ROUND(SUMIFS(AgeSex21[[#All],[Total Dollars Excluded from Spending After Applying Truncation at the Member Level]], AgeSex21[[#All],[ACO/AE ID or Insurer Overall]], $B83, AgeSex21[[#All], [Insurance Category Code]],1), 2)</f>
        <v>0</v>
      </c>
      <c r="E83" s="6">
        <f>ROUND(SUMIFS(AgeSex21[[#All],[Count of Members Whose Spending was Truncated]], AgeSex21[[#All],[ACO/AE ID or Insurer Overall]], $B83, AgeSex21[[#All], [Insurance Category Code]],1), 2)</f>
        <v>0</v>
      </c>
      <c r="F83" s="452">
        <f>ROUND(SUMIFS(AgeSex21[[#All],[Total Spending before Truncation is Applied]], AgeSex21[[#All],[ACO/AE ID or Insurer Overall]], $B83, AgeSex21[[#All], [Insurance Category Code]],1), 2)</f>
        <v>0</v>
      </c>
      <c r="G83" s="452">
        <f>ROUND(SUMIFS(AgeSex21[[#All],[Total Spending After Applying Truncation at the Member Level]], AgeSex21[[#All],[ACO/AE ID or Insurer Overall]], $B83, AgeSex21[[#All], [Insurance Category Code]],1), 2)</f>
        <v>0</v>
      </c>
      <c r="H83" s="6" t="str">
        <f>IF(C83=ROUND(SUMIFS(ACOAETME2021[[#All],[Member Months]], ACOAETME2021[[#All],[Insurance Category Code]],1, ACOAETME2021[[#All],[ACO/AE or Insurer Overall Organization ID]],B83),2), "TRUE", ROUND(C83-SUMIFS(ACOAETME2021[[#All],[Member Months]], ACOAETME2021[[#All],[Insurance Category Code]],1, ACOAETME2021[[#All],[ACO/AE or Insurer Overall Organization ID]],B83),2))</f>
        <v>TRUE</v>
      </c>
      <c r="I83" s="6" t="str">
        <f>IF(D83=ROUND(SUMIFS(ACOAETME2021[[#All],[Total Claims Excluded because of Truncation]], ACOAETME2021[[#All],[Insurance Category Code]],1, ACOAETME2021[[#All],[ACO/AE or Insurer Overall Organization ID]],B83),2), "TRUE", ROUND(D83-SUMIFS(ACOAETME2021[[#All],[Total Claims Excluded because of Truncation]], ACOAETME2021[[#All],[Insurance Category Code]],1, ACOAETME2021[[#All],[ACO/AE or Insurer Overall Organization ID]],B83),2))</f>
        <v>TRUE</v>
      </c>
      <c r="J83" s="6" t="str">
        <f>IF(E83=ROUND(SUMIFS(ACOAETME2021[[#All],[Count of Members with Claims Truncated]], ACOAETME2021[[#All],[Insurance Category Code]],1, ACOAETME2021[[#All],[ACO/AE or Insurer Overall Organization ID]],B83),2), "TRUE", ROUND(E83-SUMIFS(ACOAETME2021[[#All],[Count of Members with Claims Truncated]], ACOAETME2021[[#All],[Insurance Category Code]],1, ACOAETME2021[[#All],[ACO/AE or Insurer Overall Organization ID]],B83),2))</f>
        <v>TRUE</v>
      </c>
      <c r="K83" s="6" t="str">
        <f>IF(F83=ROUND(SUMIFS(ACOAETME2021[[#All],[TOTAL Non-Truncated Unadjusted Claims Expenses]], ACOAETME2021[[#All],[Insurance Category Code]],1, ACOAETME2021[[#All],[ACO/AE or Insurer Overall Organization ID]],B83),2), "TRUE", ROUND(F83-SUMIFS(ACOAETME2021[[#All],[TOTAL Non-Truncated Unadjusted Claims Expenses]], ACOAETME2021[[#All],[Insurance Category Code]],1, ACOAETME2021[[#All],[ACO/AE or Insurer Overall Organization ID]],B83),2))</f>
        <v>TRUE</v>
      </c>
      <c r="L83" s="6" t="str">
        <f>IF(G83=ROUND(SUMIFS(ACOAETME2021[[#All],[TOTAL Truncated Unadjusted Claims Expenses (A19 - A17)]], ACOAETME2021[[#All],[Insurance Category Code]],1, ACOAETME2021[[#All],[ACO/AE or Insurer Overall Organization ID]],B83),2), "TRUE", ROUND(G83-SUMIFS(ACOAETME2021[[#All],[TOTAL Truncated Unadjusted Claims Expenses (A19 - A17)]], ACOAETME2021[[#All],[Insurance Category Code]],1, ACOAETME2021[[#All],[ACO/AE or Insurer Overall Organization ID]],B83),2))</f>
        <v>TRUE</v>
      </c>
      <c r="M83" s="6" t="str">
        <f t="shared" si="9"/>
        <v>TRUE</v>
      </c>
      <c r="N83" s="6" t="b">
        <f>ROUND(SUMIFS(ACOAETME2021[[#All],[TOTAL Non-Truncated Unadjusted Claims Expenses]], ACOAETME2021[[#All],[Insurance Category Code]],1, ACOAETME2021[[#All],[ACO/AE or Insurer Overall Organization ID]],B83), 2)&gt;=ROUND(SUMIFS(ACOAETME2021[[#All],[TOTAL Truncated Unadjusted Claims Expenses (A19 - A17)]], ACOAETME2021[[#All],[Insurance Category Code]],1, ACOAETME2021[[#All],[ACO/AE or Insurer Overall Organization ID]],B83),2)</f>
        <v>1</v>
      </c>
      <c r="O83" s="6" t="b">
        <f>ROUND(SUMIFS(ACOAETME2021[[#All],[TOTAL Truncated Unadjusted Claims Expenses (A19 - A17)]], ACOAETME2021[[#All],[Insurance Category Code]],1, ACOAETME2021[[#All],[ACO/AE or Insurer Overall Organization ID]],B83)+SUMIFS(ACOAETME2021[[#All],[Total Claims Excluded because of Truncation]], ACOAETME2021[[#All],[Insurance Category Code]],1, ACOAETME2021[[#All],[ACO/AE or Insurer Overall Organization ID]],B83),2)=ROUND(SUMIFS(ACOAETME2021[[#All],[TOTAL Non-Truncated Unadjusted Claims Expenses]], ACOAETME2021[[#All],[Insurance Category Code]],1, ACOAETME2021[[#All],[ACO/AE or Insurer Overall Organization ID]],B83), 2)</f>
        <v>1</v>
      </c>
      <c r="Q83" s="115">
        <v>102</v>
      </c>
      <c r="R83" s="194">
        <f>ROUND(SUMIFS(AgeSex22[[#All],[Total Member Months by Age/Sex Band]], AgeSex22[[#All],[ACO/AE ID or Insurer Overall]], $B83, AgeSex22[[#All], [Insurance Category Code]],1), 2)</f>
        <v>0</v>
      </c>
      <c r="S83" s="452">
        <f>ROUND(SUMIFS(AgeSex22[[#All],[Total Dollars Excluded from Spending After Applying Truncation at the Member Level]], AgeSex22[[#All],[ACO/AE ID or Insurer Overall]], $B83, AgeSex22[[#All], [Insurance Category Code]],1), 2)</f>
        <v>0</v>
      </c>
      <c r="T83" s="6">
        <f>ROUND(SUMIFS(AgeSex22[[#All],[Count of Members Whose Spending was Truncated]], AgeSex22[[#All],[ACO/AE ID or Insurer Overall]], $B83, AgeSex22[[#All], [Insurance Category Code]],1), 2)</f>
        <v>0</v>
      </c>
      <c r="U83" s="452">
        <f>ROUND(SUMIFS(AgeSex22[[#All],[Total Spending before Truncation is Applied]], AgeSex22[[#All],[ACO/AE ID or Insurer Overall]], $B83, AgeSex22[[#All], [Insurance Category Code]],1), 2)</f>
        <v>0</v>
      </c>
      <c r="V83" s="452">
        <f>ROUND(SUMIFS(AgeSex22[[#All],[Total Spending After Applying Truncation at the Member Level]], AgeSex22[[#All],[ACO/AE ID or Insurer Overall]], $B83, AgeSex22[[#All], [Insurance Category Code]],1), 2)</f>
        <v>0</v>
      </c>
      <c r="W83" s="457" t="str">
        <f>IF(R83=ROUND(SUMIFS(ACOAETME2022[[#All],[Member Months]], ACOAETME2022[[#All],[Insurance Category Code]],1, ACOAETME2022[[#All],[ACO/AE or Insurer Overall Organization ID]],Q83),2), "TRUE", ROUND(R83-SUMIFS(ACOAETME2022[[#All],[Member Months]], ACOAETME2022[[#All],[Insurance Category Code]],1, ACOAETME2022[[#All],[ACO/AE or Insurer Overall Organization ID]],Q83),2))</f>
        <v>TRUE</v>
      </c>
      <c r="X83" s="6" t="str">
        <f>IF(S83=ROUND(SUMIFS(ACOAETME2022[[#All],[Total Claims Excluded because of Truncation]], ACOAETME2022[[#All],[Insurance Category Code]],1, ACOAETME2022[[#All],[ACO/AE or Insurer Overall Organization ID]],Q83),2), "TRUE", ROUND(S83-SUMIFS(ACOAETME2022[[#All],[Total Claims Excluded because of Truncation]], ACOAETME2022[[#All],[Insurance Category Code]],1, ACOAETME2022[[#All],[ACO/AE or Insurer Overall Organization ID]],Q83),2))</f>
        <v>TRUE</v>
      </c>
      <c r="Y83" s="6" t="str">
        <f>IF(T83=ROUND(SUMIFS(ACOAETME2022[[#All],[Count of Members with Claims Truncated]], ACOAETME2022[[#All],[Insurance Category Code]],1, ACOAETME2022[[#All],[ACO/AE or Insurer Overall Organization ID]],Q83),2), "TRUE", ROUND(T83-SUMIFS(ACOAETME2022[[#All],[Count of Members with Claims Truncated]], ACOAETME2022[[#All],[Insurance Category Code]],1, ACOAETME2022[[#All],[ACO/AE or Insurer Overall Organization ID]],Q83),2))</f>
        <v>TRUE</v>
      </c>
      <c r="Z83" s="6" t="str">
        <f>IF(U83=ROUND(SUMIFS(ACOAETME2022[[#All],[TOTAL Non-Truncated Unadjusted Claims Expenses]], ACOAETME2022[[#All],[Insurance Category Code]],1, ACOAETME2022[[#All],[ACO/AE or Insurer Overall Organization ID]],Q83),2), "TRUE", ROUND(U83-SUMIFS(ACOAETME2022[[#All],[TOTAL Non-Truncated Unadjusted Claims Expenses]], ACOAETME2022[[#All],[Insurance Category Code]],1, ACOAETME2022[[#All],[ACO/AE or Insurer Overall Organization ID]],Q83),2))</f>
        <v>TRUE</v>
      </c>
      <c r="AA83" s="6" t="str">
        <f>IF(V83=ROUND(SUMIFS(ACOAETME2022[[#All],[TOTAL Truncated Unadjusted Claims Expenses (A19 - A17)]], ACOAETME2022[[#All],[Insurance Category Code]],1, ACOAETME2022[[#All],[ACO/AE or Insurer Overall Organization ID]],Q83),2), "TRUE", ROUND(V83-SUMIFS(ACOAETME2022[[#All],[TOTAL Truncated Unadjusted Claims Expenses (A19 - A17)]], ACOAETME2022[[#All],[Insurance Category Code]],1, ACOAETME2022[[#All],[ACO/AE or Insurer Overall Organization ID]],Q83),2))</f>
        <v>TRUE</v>
      </c>
      <c r="AB83" s="6" t="str">
        <f t="shared" si="10"/>
        <v>TRUE</v>
      </c>
      <c r="AC83" s="6" t="b">
        <f>ROUND(SUMIFS(ACOAETME2022[[#All],[TOTAL Non-Truncated Unadjusted Claims Expenses]], ACOAETME2022[[#All],[Insurance Category Code]],1, ACOAETME2022[[#All],[ACO/AE or Insurer Overall Organization ID]],Q83), 2)&gt;=ROUND(SUMIFS(ACOAETME2022[[#All],[TOTAL Truncated Unadjusted Claims Expenses (A19 - A17)]], ACOAETME2022[[#All],[Insurance Category Code]],1, ACOAETME2022[[#All],[ACO/AE or Insurer Overall Organization ID]],Q83),2)</f>
        <v>1</v>
      </c>
      <c r="AD83" s="6" t="b">
        <f>ROUND(SUMIFS(ACOAETME2022[[#All],[TOTAL Truncated Unadjusted Claims Expenses (A19 - A17)]], ACOAETME2022[[#All],[Insurance Category Code]],1, ACOAETME2022[[#All],[ACO/AE or Insurer Overall Organization ID]],Q83)+SUMIFS(ACOAETME2022[[#All],[Total Claims Excluded because of Truncation]], ACOAETME2022[[#All],[Insurance Category Code]],1, ACOAETME2022[[#All],[ACO/AE or Insurer Overall Organization ID]],Q83),2)=ROUND(SUMIFS(ACOAETME2022[[#All],[TOTAL Non-Truncated Unadjusted Claims Expenses]], ACOAETME2022[[#All],[Insurance Category Code]],1, ACOAETME2022[[#All],[ACO/AE or Insurer Overall Organization ID]],Q83), 2)</f>
        <v>1</v>
      </c>
      <c r="AG83" s="454" t="str">
        <f t="shared" si="11"/>
        <v>NA</v>
      </c>
    </row>
    <row r="84" spans="2:33" x14ac:dyDescent="0.35">
      <c r="B84" s="115">
        <v>103</v>
      </c>
      <c r="C84" s="192">
        <f>ROUND(SUMIFS(AgeSex21[[#All],[Total Member Months by Age/Sex Band]], AgeSex21[[#All],[ACO/AE ID or Insurer Overall]], $B84, AgeSex21[[#All], [Insurance Category Code]],1), 2)</f>
        <v>0</v>
      </c>
      <c r="D84" s="452">
        <f>ROUND(SUMIFS(AgeSex21[[#All],[Total Dollars Excluded from Spending After Applying Truncation at the Member Level]], AgeSex21[[#All],[ACO/AE ID or Insurer Overall]], $B84, AgeSex21[[#All], [Insurance Category Code]],1), 2)</f>
        <v>0</v>
      </c>
      <c r="E84" s="6">
        <f>ROUND(SUMIFS(AgeSex21[[#All],[Count of Members Whose Spending was Truncated]], AgeSex21[[#All],[ACO/AE ID or Insurer Overall]], $B84, AgeSex21[[#All], [Insurance Category Code]],1), 2)</f>
        <v>0</v>
      </c>
      <c r="F84" s="452">
        <f>ROUND(SUMIFS(AgeSex21[[#All],[Total Spending before Truncation is Applied]], AgeSex21[[#All],[ACO/AE ID or Insurer Overall]], $B84, AgeSex21[[#All], [Insurance Category Code]],1), 2)</f>
        <v>0</v>
      </c>
      <c r="G84" s="452">
        <f>ROUND(SUMIFS(AgeSex21[[#All],[Total Spending After Applying Truncation at the Member Level]], AgeSex21[[#All],[ACO/AE ID or Insurer Overall]], $B84, AgeSex21[[#All], [Insurance Category Code]],1), 2)</f>
        <v>0</v>
      </c>
      <c r="H84" s="6" t="str">
        <f>IF(C84=ROUND(SUMIFS(ACOAETME2021[[#All],[Member Months]], ACOAETME2021[[#All],[Insurance Category Code]],1, ACOAETME2021[[#All],[ACO/AE or Insurer Overall Organization ID]],B84),2), "TRUE", ROUND(C84-SUMIFS(ACOAETME2021[[#All],[Member Months]], ACOAETME2021[[#All],[Insurance Category Code]],1, ACOAETME2021[[#All],[ACO/AE or Insurer Overall Organization ID]],B84),2))</f>
        <v>TRUE</v>
      </c>
      <c r="I84" s="6" t="str">
        <f>IF(D84=ROUND(SUMIFS(ACOAETME2021[[#All],[Total Claims Excluded because of Truncation]], ACOAETME2021[[#All],[Insurance Category Code]],1, ACOAETME2021[[#All],[ACO/AE or Insurer Overall Organization ID]],B84),2), "TRUE", ROUND(D84-SUMIFS(ACOAETME2021[[#All],[Total Claims Excluded because of Truncation]], ACOAETME2021[[#All],[Insurance Category Code]],1, ACOAETME2021[[#All],[ACO/AE or Insurer Overall Organization ID]],B84),2))</f>
        <v>TRUE</v>
      </c>
      <c r="J84" s="6" t="str">
        <f>IF(E84=ROUND(SUMIFS(ACOAETME2021[[#All],[Count of Members with Claims Truncated]], ACOAETME2021[[#All],[Insurance Category Code]],1, ACOAETME2021[[#All],[ACO/AE or Insurer Overall Organization ID]],B84),2), "TRUE", ROUND(E84-SUMIFS(ACOAETME2021[[#All],[Count of Members with Claims Truncated]], ACOAETME2021[[#All],[Insurance Category Code]],1, ACOAETME2021[[#All],[ACO/AE or Insurer Overall Organization ID]],B84),2))</f>
        <v>TRUE</v>
      </c>
      <c r="K84" s="6" t="str">
        <f>IF(F84=ROUND(SUMIFS(ACOAETME2021[[#All],[TOTAL Non-Truncated Unadjusted Claims Expenses]], ACOAETME2021[[#All],[Insurance Category Code]],1, ACOAETME2021[[#All],[ACO/AE or Insurer Overall Organization ID]],B84),2), "TRUE", ROUND(F84-SUMIFS(ACOAETME2021[[#All],[TOTAL Non-Truncated Unadjusted Claims Expenses]], ACOAETME2021[[#All],[Insurance Category Code]],1, ACOAETME2021[[#All],[ACO/AE or Insurer Overall Organization ID]],B84),2))</f>
        <v>TRUE</v>
      </c>
      <c r="L84" s="6" t="str">
        <f>IF(G84=ROUND(SUMIFS(ACOAETME2021[[#All],[TOTAL Truncated Unadjusted Claims Expenses (A19 - A17)]], ACOAETME2021[[#All],[Insurance Category Code]],1, ACOAETME2021[[#All],[ACO/AE or Insurer Overall Organization ID]],B84),2), "TRUE", ROUND(G84-SUMIFS(ACOAETME2021[[#All],[TOTAL Truncated Unadjusted Claims Expenses (A19 - A17)]], ACOAETME2021[[#All],[Insurance Category Code]],1, ACOAETME2021[[#All],[ACO/AE or Insurer Overall Organization ID]],B84),2))</f>
        <v>TRUE</v>
      </c>
      <c r="M84" s="6" t="str">
        <f t="shared" si="9"/>
        <v>TRUE</v>
      </c>
      <c r="N84" s="6" t="b">
        <f>ROUND(SUMIFS(ACOAETME2021[[#All],[TOTAL Non-Truncated Unadjusted Claims Expenses]], ACOAETME2021[[#All],[Insurance Category Code]],1, ACOAETME2021[[#All],[ACO/AE or Insurer Overall Organization ID]],B84), 2)&gt;=ROUND(SUMIFS(ACOAETME2021[[#All],[TOTAL Truncated Unadjusted Claims Expenses (A19 - A17)]], ACOAETME2021[[#All],[Insurance Category Code]],1, ACOAETME2021[[#All],[ACO/AE or Insurer Overall Organization ID]],B84),2)</f>
        <v>1</v>
      </c>
      <c r="O84" s="6" t="b">
        <f>ROUND(SUMIFS(ACOAETME2021[[#All],[TOTAL Truncated Unadjusted Claims Expenses (A19 - A17)]], ACOAETME2021[[#All],[Insurance Category Code]],1, ACOAETME2021[[#All],[ACO/AE or Insurer Overall Organization ID]],B84)+SUMIFS(ACOAETME2021[[#All],[Total Claims Excluded because of Truncation]], ACOAETME2021[[#All],[Insurance Category Code]],1, ACOAETME2021[[#All],[ACO/AE or Insurer Overall Organization ID]],B84),2)=ROUND(SUMIFS(ACOAETME2021[[#All],[TOTAL Non-Truncated Unadjusted Claims Expenses]], ACOAETME2021[[#All],[Insurance Category Code]],1, ACOAETME2021[[#All],[ACO/AE or Insurer Overall Organization ID]],B84), 2)</f>
        <v>1</v>
      </c>
      <c r="Q84" s="115">
        <v>103</v>
      </c>
      <c r="R84" s="194">
        <f>ROUND(SUMIFS(AgeSex22[[#All],[Total Member Months by Age/Sex Band]], AgeSex22[[#All],[ACO/AE ID or Insurer Overall]], $B84, AgeSex22[[#All], [Insurance Category Code]],1), 2)</f>
        <v>0</v>
      </c>
      <c r="S84" s="452">
        <f>ROUND(SUMIFS(AgeSex22[[#All],[Total Dollars Excluded from Spending After Applying Truncation at the Member Level]], AgeSex22[[#All],[ACO/AE ID or Insurer Overall]], $B84, AgeSex22[[#All], [Insurance Category Code]],1), 2)</f>
        <v>0</v>
      </c>
      <c r="T84" s="6">
        <f>ROUND(SUMIFS(AgeSex22[[#All],[Count of Members Whose Spending was Truncated]], AgeSex22[[#All],[ACO/AE ID or Insurer Overall]], $B84, AgeSex22[[#All], [Insurance Category Code]],1), 2)</f>
        <v>0</v>
      </c>
      <c r="U84" s="452">
        <f>ROUND(SUMIFS(AgeSex22[[#All],[Total Spending before Truncation is Applied]], AgeSex22[[#All],[ACO/AE ID or Insurer Overall]], $B84, AgeSex22[[#All], [Insurance Category Code]],1), 2)</f>
        <v>0</v>
      </c>
      <c r="V84" s="452">
        <f>ROUND(SUMIFS(AgeSex22[[#All],[Total Spending After Applying Truncation at the Member Level]], AgeSex22[[#All],[ACO/AE ID or Insurer Overall]], $B84, AgeSex22[[#All], [Insurance Category Code]],1), 2)</f>
        <v>0</v>
      </c>
      <c r="W84" s="457" t="str">
        <f>IF(R84=ROUND(SUMIFS(ACOAETME2022[[#All],[Member Months]], ACOAETME2022[[#All],[Insurance Category Code]],1, ACOAETME2022[[#All],[ACO/AE or Insurer Overall Organization ID]],Q84),2), "TRUE", ROUND(R84-SUMIFS(ACOAETME2022[[#All],[Member Months]], ACOAETME2022[[#All],[Insurance Category Code]],1, ACOAETME2022[[#All],[ACO/AE or Insurer Overall Organization ID]],Q84),2))</f>
        <v>TRUE</v>
      </c>
      <c r="X84" s="6" t="str">
        <f>IF(S84=ROUND(SUMIFS(ACOAETME2022[[#All],[Total Claims Excluded because of Truncation]], ACOAETME2022[[#All],[Insurance Category Code]],1, ACOAETME2022[[#All],[ACO/AE or Insurer Overall Organization ID]],Q84),2), "TRUE", ROUND(S84-SUMIFS(ACOAETME2022[[#All],[Total Claims Excluded because of Truncation]], ACOAETME2022[[#All],[Insurance Category Code]],1, ACOAETME2022[[#All],[ACO/AE or Insurer Overall Organization ID]],Q84),2))</f>
        <v>TRUE</v>
      </c>
      <c r="Y84" s="6" t="str">
        <f>IF(T84=ROUND(SUMIFS(ACOAETME2022[[#All],[Count of Members with Claims Truncated]], ACOAETME2022[[#All],[Insurance Category Code]],1, ACOAETME2022[[#All],[ACO/AE or Insurer Overall Organization ID]],Q84),2), "TRUE", ROUND(T84-SUMIFS(ACOAETME2022[[#All],[Count of Members with Claims Truncated]], ACOAETME2022[[#All],[Insurance Category Code]],1, ACOAETME2022[[#All],[ACO/AE or Insurer Overall Organization ID]],Q84),2))</f>
        <v>TRUE</v>
      </c>
      <c r="Z84" s="6" t="str">
        <f>IF(U84=ROUND(SUMIFS(ACOAETME2022[[#All],[TOTAL Non-Truncated Unadjusted Claims Expenses]], ACOAETME2022[[#All],[Insurance Category Code]],1, ACOAETME2022[[#All],[ACO/AE or Insurer Overall Organization ID]],Q84),2), "TRUE", ROUND(U84-SUMIFS(ACOAETME2022[[#All],[TOTAL Non-Truncated Unadjusted Claims Expenses]], ACOAETME2022[[#All],[Insurance Category Code]],1, ACOAETME2022[[#All],[ACO/AE or Insurer Overall Organization ID]],Q84),2))</f>
        <v>TRUE</v>
      </c>
      <c r="AA84" s="6" t="str">
        <f>IF(V84=ROUND(SUMIFS(ACOAETME2022[[#All],[TOTAL Truncated Unadjusted Claims Expenses (A19 - A17)]], ACOAETME2022[[#All],[Insurance Category Code]],1, ACOAETME2022[[#All],[ACO/AE or Insurer Overall Organization ID]],Q84),2), "TRUE", ROUND(V84-SUMIFS(ACOAETME2022[[#All],[TOTAL Truncated Unadjusted Claims Expenses (A19 - A17)]], ACOAETME2022[[#All],[Insurance Category Code]],1, ACOAETME2022[[#All],[ACO/AE or Insurer Overall Organization ID]],Q84),2))</f>
        <v>TRUE</v>
      </c>
      <c r="AB84" s="6" t="str">
        <f t="shared" si="10"/>
        <v>TRUE</v>
      </c>
      <c r="AC84" s="6" t="b">
        <f>ROUND(SUMIFS(ACOAETME2022[[#All],[TOTAL Non-Truncated Unadjusted Claims Expenses]], ACOAETME2022[[#All],[Insurance Category Code]],1, ACOAETME2022[[#All],[ACO/AE or Insurer Overall Organization ID]],Q84), 2)&gt;=ROUND(SUMIFS(ACOAETME2022[[#All],[TOTAL Truncated Unadjusted Claims Expenses (A19 - A17)]], ACOAETME2022[[#All],[Insurance Category Code]],1, ACOAETME2022[[#All],[ACO/AE or Insurer Overall Organization ID]],Q84),2)</f>
        <v>1</v>
      </c>
      <c r="AD84" s="6" t="b">
        <f>ROUND(SUMIFS(ACOAETME2022[[#All],[TOTAL Truncated Unadjusted Claims Expenses (A19 - A17)]], ACOAETME2022[[#All],[Insurance Category Code]],1, ACOAETME2022[[#All],[ACO/AE or Insurer Overall Organization ID]],Q84)+SUMIFS(ACOAETME2022[[#All],[Total Claims Excluded because of Truncation]], ACOAETME2022[[#All],[Insurance Category Code]],1, ACOAETME2022[[#All],[ACO/AE or Insurer Overall Organization ID]],Q84),2)=ROUND(SUMIFS(ACOAETME2022[[#All],[TOTAL Non-Truncated Unadjusted Claims Expenses]], ACOAETME2022[[#All],[Insurance Category Code]],1, ACOAETME2022[[#All],[ACO/AE or Insurer Overall Organization ID]],Q84), 2)</f>
        <v>1</v>
      </c>
      <c r="AG84" s="454" t="str">
        <f t="shared" si="11"/>
        <v>NA</v>
      </c>
    </row>
    <row r="85" spans="2:33" x14ac:dyDescent="0.35">
      <c r="B85" s="115">
        <v>104</v>
      </c>
      <c r="C85" s="192">
        <f>ROUND(SUMIFS(AgeSex21[[#All],[Total Member Months by Age/Sex Band]], AgeSex21[[#All],[ACO/AE ID or Insurer Overall]], $B85, AgeSex21[[#All], [Insurance Category Code]],1), 2)</f>
        <v>0</v>
      </c>
      <c r="D85" s="452">
        <f>ROUND(SUMIFS(AgeSex21[[#All],[Total Dollars Excluded from Spending After Applying Truncation at the Member Level]], AgeSex21[[#All],[ACO/AE ID or Insurer Overall]], $B85, AgeSex21[[#All], [Insurance Category Code]],1), 2)</f>
        <v>0</v>
      </c>
      <c r="E85" s="6">
        <f>ROUND(SUMIFS(AgeSex21[[#All],[Count of Members Whose Spending was Truncated]], AgeSex21[[#All],[ACO/AE ID or Insurer Overall]], $B85, AgeSex21[[#All], [Insurance Category Code]],1), 2)</f>
        <v>0</v>
      </c>
      <c r="F85" s="452">
        <f>ROUND(SUMIFS(AgeSex21[[#All],[Total Spending before Truncation is Applied]], AgeSex21[[#All],[ACO/AE ID or Insurer Overall]], $B85, AgeSex21[[#All], [Insurance Category Code]],1), 2)</f>
        <v>0</v>
      </c>
      <c r="G85" s="452">
        <f>ROUND(SUMIFS(AgeSex21[[#All],[Total Spending After Applying Truncation at the Member Level]], AgeSex21[[#All],[ACO/AE ID or Insurer Overall]], $B85, AgeSex21[[#All], [Insurance Category Code]],1), 2)</f>
        <v>0</v>
      </c>
      <c r="H85" s="6" t="str">
        <f>IF(C85=ROUND(SUMIFS(ACOAETME2021[[#All],[Member Months]], ACOAETME2021[[#All],[Insurance Category Code]],1, ACOAETME2021[[#All],[ACO/AE or Insurer Overall Organization ID]],B85),2), "TRUE", ROUND(C85-SUMIFS(ACOAETME2021[[#All],[Member Months]], ACOAETME2021[[#All],[Insurance Category Code]],1, ACOAETME2021[[#All],[ACO/AE or Insurer Overall Organization ID]],B85),2))</f>
        <v>TRUE</v>
      </c>
      <c r="I85" s="6" t="str">
        <f>IF(D85=ROUND(SUMIFS(ACOAETME2021[[#All],[Total Claims Excluded because of Truncation]], ACOAETME2021[[#All],[Insurance Category Code]],1, ACOAETME2021[[#All],[ACO/AE or Insurer Overall Organization ID]],B85),2), "TRUE", ROUND(D85-SUMIFS(ACOAETME2021[[#All],[Total Claims Excluded because of Truncation]], ACOAETME2021[[#All],[Insurance Category Code]],1, ACOAETME2021[[#All],[ACO/AE or Insurer Overall Organization ID]],B85),2))</f>
        <v>TRUE</v>
      </c>
      <c r="J85" s="6" t="str">
        <f>IF(E85=ROUND(SUMIFS(ACOAETME2021[[#All],[Count of Members with Claims Truncated]], ACOAETME2021[[#All],[Insurance Category Code]],1, ACOAETME2021[[#All],[ACO/AE or Insurer Overall Organization ID]],B85),2), "TRUE", ROUND(E85-SUMIFS(ACOAETME2021[[#All],[Count of Members with Claims Truncated]], ACOAETME2021[[#All],[Insurance Category Code]],1, ACOAETME2021[[#All],[ACO/AE or Insurer Overall Organization ID]],B85),2))</f>
        <v>TRUE</v>
      </c>
      <c r="K85" s="6" t="str">
        <f>IF(F85=ROUND(SUMIFS(ACOAETME2021[[#All],[TOTAL Non-Truncated Unadjusted Claims Expenses]], ACOAETME2021[[#All],[Insurance Category Code]],1, ACOAETME2021[[#All],[ACO/AE or Insurer Overall Organization ID]],B85),2), "TRUE", ROUND(F85-SUMIFS(ACOAETME2021[[#All],[TOTAL Non-Truncated Unadjusted Claims Expenses]], ACOAETME2021[[#All],[Insurance Category Code]],1, ACOAETME2021[[#All],[ACO/AE or Insurer Overall Organization ID]],B85),2))</f>
        <v>TRUE</v>
      </c>
      <c r="L85" s="6" t="str">
        <f>IF(G85=ROUND(SUMIFS(ACOAETME2021[[#All],[TOTAL Truncated Unadjusted Claims Expenses (A19 - A17)]], ACOAETME2021[[#All],[Insurance Category Code]],1, ACOAETME2021[[#All],[ACO/AE or Insurer Overall Organization ID]],B85),2), "TRUE", ROUND(G85-SUMIFS(ACOAETME2021[[#All],[TOTAL Truncated Unadjusted Claims Expenses (A19 - A17)]], ACOAETME2021[[#All],[Insurance Category Code]],1, ACOAETME2021[[#All],[ACO/AE or Insurer Overall Organization ID]],B85),2))</f>
        <v>TRUE</v>
      </c>
      <c r="M85" s="6" t="str">
        <f t="shared" si="9"/>
        <v>TRUE</v>
      </c>
      <c r="N85" s="6" t="b">
        <f>ROUND(SUMIFS(ACOAETME2021[[#All],[TOTAL Non-Truncated Unadjusted Claims Expenses]], ACOAETME2021[[#All],[Insurance Category Code]],1, ACOAETME2021[[#All],[ACO/AE or Insurer Overall Organization ID]],B85), 2)&gt;=ROUND(SUMIFS(ACOAETME2021[[#All],[TOTAL Truncated Unadjusted Claims Expenses (A19 - A17)]], ACOAETME2021[[#All],[Insurance Category Code]],1, ACOAETME2021[[#All],[ACO/AE or Insurer Overall Organization ID]],B85),2)</f>
        <v>1</v>
      </c>
      <c r="O85" s="6" t="b">
        <f>ROUND(SUMIFS(ACOAETME2021[[#All],[TOTAL Truncated Unadjusted Claims Expenses (A19 - A17)]], ACOAETME2021[[#All],[Insurance Category Code]],1, ACOAETME2021[[#All],[ACO/AE or Insurer Overall Organization ID]],B85)+SUMIFS(ACOAETME2021[[#All],[Total Claims Excluded because of Truncation]], ACOAETME2021[[#All],[Insurance Category Code]],1, ACOAETME2021[[#All],[ACO/AE or Insurer Overall Organization ID]],B85),2)=ROUND(SUMIFS(ACOAETME2021[[#All],[TOTAL Non-Truncated Unadjusted Claims Expenses]], ACOAETME2021[[#All],[Insurance Category Code]],1, ACOAETME2021[[#All],[ACO/AE or Insurer Overall Organization ID]],B85), 2)</f>
        <v>1</v>
      </c>
      <c r="Q85" s="115">
        <v>104</v>
      </c>
      <c r="R85" s="194">
        <f>ROUND(SUMIFS(AgeSex22[[#All],[Total Member Months by Age/Sex Band]], AgeSex22[[#All],[ACO/AE ID or Insurer Overall]], $B85, AgeSex22[[#All], [Insurance Category Code]],1), 2)</f>
        <v>0</v>
      </c>
      <c r="S85" s="452">
        <f>ROUND(SUMIFS(AgeSex22[[#All],[Total Dollars Excluded from Spending After Applying Truncation at the Member Level]], AgeSex22[[#All],[ACO/AE ID or Insurer Overall]], $B85, AgeSex22[[#All], [Insurance Category Code]],1), 2)</f>
        <v>0</v>
      </c>
      <c r="T85" s="6">
        <f>ROUND(SUMIFS(AgeSex22[[#All],[Count of Members Whose Spending was Truncated]], AgeSex22[[#All],[ACO/AE ID or Insurer Overall]], $B85, AgeSex22[[#All], [Insurance Category Code]],1), 2)</f>
        <v>0</v>
      </c>
      <c r="U85" s="452">
        <f>ROUND(SUMIFS(AgeSex22[[#All],[Total Spending before Truncation is Applied]], AgeSex22[[#All],[ACO/AE ID or Insurer Overall]], $B85, AgeSex22[[#All], [Insurance Category Code]],1), 2)</f>
        <v>0</v>
      </c>
      <c r="V85" s="452">
        <f>ROUND(SUMIFS(AgeSex22[[#All],[Total Spending After Applying Truncation at the Member Level]], AgeSex22[[#All],[ACO/AE ID or Insurer Overall]], $B85, AgeSex22[[#All], [Insurance Category Code]],1), 2)</f>
        <v>0</v>
      </c>
      <c r="W85" s="457" t="str">
        <f>IF(R85=ROUND(SUMIFS(ACOAETME2022[[#All],[Member Months]], ACOAETME2022[[#All],[Insurance Category Code]],1, ACOAETME2022[[#All],[ACO/AE or Insurer Overall Organization ID]],Q85),2), "TRUE", ROUND(R85-SUMIFS(ACOAETME2022[[#All],[Member Months]], ACOAETME2022[[#All],[Insurance Category Code]],1, ACOAETME2022[[#All],[ACO/AE or Insurer Overall Organization ID]],Q85),2))</f>
        <v>TRUE</v>
      </c>
      <c r="X85" s="6" t="str">
        <f>IF(S85=ROUND(SUMIFS(ACOAETME2022[[#All],[Total Claims Excluded because of Truncation]], ACOAETME2022[[#All],[Insurance Category Code]],1, ACOAETME2022[[#All],[ACO/AE or Insurer Overall Organization ID]],Q85),2), "TRUE", ROUND(S85-SUMIFS(ACOAETME2022[[#All],[Total Claims Excluded because of Truncation]], ACOAETME2022[[#All],[Insurance Category Code]],1, ACOAETME2022[[#All],[ACO/AE or Insurer Overall Organization ID]],Q85),2))</f>
        <v>TRUE</v>
      </c>
      <c r="Y85" s="6" t="str">
        <f>IF(T85=ROUND(SUMIFS(ACOAETME2022[[#All],[Count of Members with Claims Truncated]], ACOAETME2022[[#All],[Insurance Category Code]],1, ACOAETME2022[[#All],[ACO/AE or Insurer Overall Organization ID]],Q85),2), "TRUE", ROUND(T85-SUMIFS(ACOAETME2022[[#All],[Count of Members with Claims Truncated]], ACOAETME2022[[#All],[Insurance Category Code]],1, ACOAETME2022[[#All],[ACO/AE or Insurer Overall Organization ID]],Q85),2))</f>
        <v>TRUE</v>
      </c>
      <c r="Z85" s="6" t="str">
        <f>IF(U85=ROUND(SUMIFS(ACOAETME2022[[#All],[TOTAL Non-Truncated Unadjusted Claims Expenses]], ACOAETME2022[[#All],[Insurance Category Code]],1, ACOAETME2022[[#All],[ACO/AE or Insurer Overall Organization ID]],Q85),2), "TRUE", ROUND(U85-SUMIFS(ACOAETME2022[[#All],[TOTAL Non-Truncated Unadjusted Claims Expenses]], ACOAETME2022[[#All],[Insurance Category Code]],1, ACOAETME2022[[#All],[ACO/AE or Insurer Overall Organization ID]],Q85),2))</f>
        <v>TRUE</v>
      </c>
      <c r="AA85" s="6" t="str">
        <f>IF(V85=ROUND(SUMIFS(ACOAETME2022[[#All],[TOTAL Truncated Unadjusted Claims Expenses (A19 - A17)]], ACOAETME2022[[#All],[Insurance Category Code]],1, ACOAETME2022[[#All],[ACO/AE or Insurer Overall Organization ID]],Q85),2), "TRUE", ROUND(V85-SUMIFS(ACOAETME2022[[#All],[TOTAL Truncated Unadjusted Claims Expenses (A19 - A17)]], ACOAETME2022[[#All],[Insurance Category Code]],1, ACOAETME2022[[#All],[ACO/AE or Insurer Overall Organization ID]],Q85),2))</f>
        <v>TRUE</v>
      </c>
      <c r="AB85" s="6" t="str">
        <f t="shared" si="10"/>
        <v>TRUE</v>
      </c>
      <c r="AC85" s="6" t="b">
        <f>ROUND(SUMIFS(ACOAETME2022[[#All],[TOTAL Non-Truncated Unadjusted Claims Expenses]], ACOAETME2022[[#All],[Insurance Category Code]],1, ACOAETME2022[[#All],[ACO/AE or Insurer Overall Organization ID]],Q85), 2)&gt;=ROUND(SUMIFS(ACOAETME2022[[#All],[TOTAL Truncated Unadjusted Claims Expenses (A19 - A17)]], ACOAETME2022[[#All],[Insurance Category Code]],1, ACOAETME2022[[#All],[ACO/AE or Insurer Overall Organization ID]],Q85),2)</f>
        <v>1</v>
      </c>
      <c r="AD85" s="6" t="b">
        <f>ROUND(SUMIFS(ACOAETME2022[[#All],[TOTAL Truncated Unadjusted Claims Expenses (A19 - A17)]], ACOAETME2022[[#All],[Insurance Category Code]],1, ACOAETME2022[[#All],[ACO/AE or Insurer Overall Organization ID]],Q85)+SUMIFS(ACOAETME2022[[#All],[Total Claims Excluded because of Truncation]], ACOAETME2022[[#All],[Insurance Category Code]],1, ACOAETME2022[[#All],[ACO/AE or Insurer Overall Organization ID]],Q85),2)=ROUND(SUMIFS(ACOAETME2022[[#All],[TOTAL Non-Truncated Unadjusted Claims Expenses]], ACOAETME2022[[#All],[Insurance Category Code]],1, ACOAETME2022[[#All],[ACO/AE or Insurer Overall Organization ID]],Q85), 2)</f>
        <v>1</v>
      </c>
      <c r="AG85" s="454" t="str">
        <f t="shared" si="11"/>
        <v>NA</v>
      </c>
    </row>
    <row r="86" spans="2:33" x14ac:dyDescent="0.35">
      <c r="B86" s="115">
        <v>105</v>
      </c>
      <c r="C86" s="192">
        <f>ROUND(SUMIFS(AgeSex21[[#All],[Total Member Months by Age/Sex Band]], AgeSex21[[#All],[ACO/AE ID or Insurer Overall]], $B86, AgeSex21[[#All], [Insurance Category Code]],1), 2)</f>
        <v>0</v>
      </c>
      <c r="D86" s="452">
        <f>ROUND(SUMIFS(AgeSex21[[#All],[Total Dollars Excluded from Spending After Applying Truncation at the Member Level]], AgeSex21[[#All],[ACO/AE ID or Insurer Overall]], $B86, AgeSex21[[#All], [Insurance Category Code]],1), 2)</f>
        <v>0</v>
      </c>
      <c r="E86" s="6">
        <f>ROUND(SUMIFS(AgeSex21[[#All],[Count of Members Whose Spending was Truncated]], AgeSex21[[#All],[ACO/AE ID or Insurer Overall]], $B86, AgeSex21[[#All], [Insurance Category Code]],1), 2)</f>
        <v>0</v>
      </c>
      <c r="F86" s="452">
        <f>ROUND(SUMIFS(AgeSex21[[#All],[Total Spending before Truncation is Applied]], AgeSex21[[#All],[ACO/AE ID or Insurer Overall]], $B86, AgeSex21[[#All], [Insurance Category Code]],1), 2)</f>
        <v>0</v>
      </c>
      <c r="G86" s="452">
        <f>ROUND(SUMIFS(AgeSex21[[#All],[Total Spending After Applying Truncation at the Member Level]], AgeSex21[[#All],[ACO/AE ID or Insurer Overall]], $B86, AgeSex21[[#All], [Insurance Category Code]],1), 2)</f>
        <v>0</v>
      </c>
      <c r="H86" s="6" t="str">
        <f>IF(C86=ROUND(SUMIFS(ACOAETME2021[[#All],[Member Months]], ACOAETME2021[[#All],[Insurance Category Code]],1, ACOAETME2021[[#All],[ACO/AE or Insurer Overall Organization ID]],B86),2), "TRUE", ROUND(C86-SUMIFS(ACOAETME2021[[#All],[Member Months]], ACOAETME2021[[#All],[Insurance Category Code]],1, ACOAETME2021[[#All],[ACO/AE or Insurer Overall Organization ID]],B86),2))</f>
        <v>TRUE</v>
      </c>
      <c r="I86" s="6" t="str">
        <f>IF(D86=ROUND(SUMIFS(ACOAETME2021[[#All],[Total Claims Excluded because of Truncation]], ACOAETME2021[[#All],[Insurance Category Code]],1, ACOAETME2021[[#All],[ACO/AE or Insurer Overall Organization ID]],B86),2), "TRUE", ROUND(D86-SUMIFS(ACOAETME2021[[#All],[Total Claims Excluded because of Truncation]], ACOAETME2021[[#All],[Insurance Category Code]],1, ACOAETME2021[[#All],[ACO/AE or Insurer Overall Organization ID]],B86),2))</f>
        <v>TRUE</v>
      </c>
      <c r="J86" s="6" t="str">
        <f>IF(E86=ROUND(SUMIFS(ACOAETME2021[[#All],[Count of Members with Claims Truncated]], ACOAETME2021[[#All],[Insurance Category Code]],1, ACOAETME2021[[#All],[ACO/AE or Insurer Overall Organization ID]],B86),2), "TRUE", ROUND(E86-SUMIFS(ACOAETME2021[[#All],[Count of Members with Claims Truncated]], ACOAETME2021[[#All],[Insurance Category Code]],1, ACOAETME2021[[#All],[ACO/AE or Insurer Overall Organization ID]],B86),2))</f>
        <v>TRUE</v>
      </c>
      <c r="K86" s="6" t="str">
        <f>IF(F86=ROUND(SUMIFS(ACOAETME2021[[#All],[TOTAL Non-Truncated Unadjusted Claims Expenses]], ACOAETME2021[[#All],[Insurance Category Code]],1, ACOAETME2021[[#All],[ACO/AE or Insurer Overall Organization ID]],B86),2), "TRUE", ROUND(F86-SUMIFS(ACOAETME2021[[#All],[TOTAL Non-Truncated Unadjusted Claims Expenses]], ACOAETME2021[[#All],[Insurance Category Code]],1, ACOAETME2021[[#All],[ACO/AE or Insurer Overall Organization ID]],B86),2))</f>
        <v>TRUE</v>
      </c>
      <c r="L86" s="6" t="str">
        <f>IF(G86=ROUND(SUMIFS(ACOAETME2021[[#All],[TOTAL Truncated Unadjusted Claims Expenses (A19 - A17)]], ACOAETME2021[[#All],[Insurance Category Code]],1, ACOAETME2021[[#All],[ACO/AE or Insurer Overall Organization ID]],B86),2), "TRUE", ROUND(G86-SUMIFS(ACOAETME2021[[#All],[TOTAL Truncated Unadjusted Claims Expenses (A19 - A17)]], ACOAETME2021[[#All],[Insurance Category Code]],1, ACOAETME2021[[#All],[ACO/AE or Insurer Overall Organization ID]],B86),2))</f>
        <v>TRUE</v>
      </c>
      <c r="M86" s="6" t="str">
        <f t="shared" si="9"/>
        <v>TRUE</v>
      </c>
      <c r="N86" s="6" t="b">
        <f>ROUND(SUMIFS(ACOAETME2021[[#All],[TOTAL Non-Truncated Unadjusted Claims Expenses]], ACOAETME2021[[#All],[Insurance Category Code]],1, ACOAETME2021[[#All],[ACO/AE or Insurer Overall Organization ID]],B86), 2)&gt;=ROUND(SUMIFS(ACOAETME2021[[#All],[TOTAL Truncated Unadjusted Claims Expenses (A19 - A17)]], ACOAETME2021[[#All],[Insurance Category Code]],1, ACOAETME2021[[#All],[ACO/AE or Insurer Overall Organization ID]],B86),2)</f>
        <v>1</v>
      </c>
      <c r="O86" s="6" t="b">
        <f>ROUND(SUMIFS(ACOAETME2021[[#All],[TOTAL Truncated Unadjusted Claims Expenses (A19 - A17)]], ACOAETME2021[[#All],[Insurance Category Code]],1, ACOAETME2021[[#All],[ACO/AE or Insurer Overall Organization ID]],B86)+SUMIFS(ACOAETME2021[[#All],[Total Claims Excluded because of Truncation]], ACOAETME2021[[#All],[Insurance Category Code]],1, ACOAETME2021[[#All],[ACO/AE or Insurer Overall Organization ID]],B86),2)=ROUND(SUMIFS(ACOAETME2021[[#All],[TOTAL Non-Truncated Unadjusted Claims Expenses]], ACOAETME2021[[#All],[Insurance Category Code]],1, ACOAETME2021[[#All],[ACO/AE or Insurer Overall Organization ID]],B86), 2)</f>
        <v>1</v>
      </c>
      <c r="Q86" s="115">
        <v>105</v>
      </c>
      <c r="R86" s="194">
        <f>ROUND(SUMIFS(AgeSex22[[#All],[Total Member Months by Age/Sex Band]], AgeSex22[[#All],[ACO/AE ID or Insurer Overall]], $B86, AgeSex22[[#All], [Insurance Category Code]],1), 2)</f>
        <v>0</v>
      </c>
      <c r="S86" s="452">
        <f>ROUND(SUMIFS(AgeSex22[[#All],[Total Dollars Excluded from Spending After Applying Truncation at the Member Level]], AgeSex22[[#All],[ACO/AE ID or Insurer Overall]], $B86, AgeSex22[[#All], [Insurance Category Code]],1), 2)</f>
        <v>0</v>
      </c>
      <c r="T86" s="6">
        <f>ROUND(SUMIFS(AgeSex22[[#All],[Count of Members Whose Spending was Truncated]], AgeSex22[[#All],[ACO/AE ID or Insurer Overall]], $B86, AgeSex22[[#All], [Insurance Category Code]],1), 2)</f>
        <v>0</v>
      </c>
      <c r="U86" s="452">
        <f>ROUND(SUMIFS(AgeSex22[[#All],[Total Spending before Truncation is Applied]], AgeSex22[[#All],[ACO/AE ID or Insurer Overall]], $B86, AgeSex22[[#All], [Insurance Category Code]],1), 2)</f>
        <v>0</v>
      </c>
      <c r="V86" s="452">
        <f>ROUND(SUMIFS(AgeSex22[[#All],[Total Spending After Applying Truncation at the Member Level]], AgeSex22[[#All],[ACO/AE ID or Insurer Overall]], $B86, AgeSex22[[#All], [Insurance Category Code]],1), 2)</f>
        <v>0</v>
      </c>
      <c r="W86" s="457" t="str">
        <f>IF(R86=ROUND(SUMIFS(ACOAETME2022[[#All],[Member Months]], ACOAETME2022[[#All],[Insurance Category Code]],1, ACOAETME2022[[#All],[ACO/AE or Insurer Overall Organization ID]],Q86),2), "TRUE", ROUND(R86-SUMIFS(ACOAETME2022[[#All],[Member Months]], ACOAETME2022[[#All],[Insurance Category Code]],1, ACOAETME2022[[#All],[ACO/AE or Insurer Overall Organization ID]],Q86),2))</f>
        <v>TRUE</v>
      </c>
      <c r="X86" s="6" t="str">
        <f>IF(S86=ROUND(SUMIFS(ACOAETME2022[[#All],[Total Claims Excluded because of Truncation]], ACOAETME2022[[#All],[Insurance Category Code]],1, ACOAETME2022[[#All],[ACO/AE or Insurer Overall Organization ID]],Q86),2), "TRUE", ROUND(S86-SUMIFS(ACOAETME2022[[#All],[Total Claims Excluded because of Truncation]], ACOAETME2022[[#All],[Insurance Category Code]],1, ACOAETME2022[[#All],[ACO/AE or Insurer Overall Organization ID]],Q86),2))</f>
        <v>TRUE</v>
      </c>
      <c r="Y86" s="6" t="str">
        <f>IF(T86=ROUND(SUMIFS(ACOAETME2022[[#All],[Count of Members with Claims Truncated]], ACOAETME2022[[#All],[Insurance Category Code]],1, ACOAETME2022[[#All],[ACO/AE or Insurer Overall Organization ID]],Q86),2), "TRUE", ROUND(T86-SUMIFS(ACOAETME2022[[#All],[Count of Members with Claims Truncated]], ACOAETME2022[[#All],[Insurance Category Code]],1, ACOAETME2022[[#All],[ACO/AE or Insurer Overall Organization ID]],Q86),2))</f>
        <v>TRUE</v>
      </c>
      <c r="Z86" s="6" t="str">
        <f>IF(U86=ROUND(SUMIFS(ACOAETME2022[[#All],[TOTAL Non-Truncated Unadjusted Claims Expenses]], ACOAETME2022[[#All],[Insurance Category Code]],1, ACOAETME2022[[#All],[ACO/AE or Insurer Overall Organization ID]],Q86),2), "TRUE", ROUND(U86-SUMIFS(ACOAETME2022[[#All],[TOTAL Non-Truncated Unadjusted Claims Expenses]], ACOAETME2022[[#All],[Insurance Category Code]],1, ACOAETME2022[[#All],[ACO/AE or Insurer Overall Organization ID]],Q86),2))</f>
        <v>TRUE</v>
      </c>
      <c r="AA86" s="6" t="str">
        <f>IF(V86=ROUND(SUMIFS(ACOAETME2022[[#All],[TOTAL Truncated Unadjusted Claims Expenses (A19 - A17)]], ACOAETME2022[[#All],[Insurance Category Code]],1, ACOAETME2022[[#All],[ACO/AE or Insurer Overall Organization ID]],Q86),2), "TRUE", ROUND(V86-SUMIFS(ACOAETME2022[[#All],[TOTAL Truncated Unadjusted Claims Expenses (A19 - A17)]], ACOAETME2022[[#All],[Insurance Category Code]],1, ACOAETME2022[[#All],[ACO/AE or Insurer Overall Organization ID]],Q86),2))</f>
        <v>TRUE</v>
      </c>
      <c r="AB86" s="6" t="str">
        <f t="shared" si="10"/>
        <v>TRUE</v>
      </c>
      <c r="AC86" s="6" t="b">
        <f>ROUND(SUMIFS(ACOAETME2022[[#All],[TOTAL Non-Truncated Unadjusted Claims Expenses]], ACOAETME2022[[#All],[Insurance Category Code]],1, ACOAETME2022[[#All],[ACO/AE or Insurer Overall Organization ID]],Q86), 2)&gt;=ROUND(SUMIFS(ACOAETME2022[[#All],[TOTAL Truncated Unadjusted Claims Expenses (A19 - A17)]], ACOAETME2022[[#All],[Insurance Category Code]],1, ACOAETME2022[[#All],[ACO/AE or Insurer Overall Organization ID]],Q86),2)</f>
        <v>1</v>
      </c>
      <c r="AD86" s="6" t="b">
        <f>ROUND(SUMIFS(ACOAETME2022[[#All],[TOTAL Truncated Unadjusted Claims Expenses (A19 - A17)]], ACOAETME2022[[#All],[Insurance Category Code]],1, ACOAETME2022[[#All],[ACO/AE or Insurer Overall Organization ID]],Q86)+SUMIFS(ACOAETME2022[[#All],[Total Claims Excluded because of Truncation]], ACOAETME2022[[#All],[Insurance Category Code]],1, ACOAETME2022[[#All],[ACO/AE or Insurer Overall Organization ID]],Q86),2)=ROUND(SUMIFS(ACOAETME2022[[#All],[TOTAL Non-Truncated Unadjusted Claims Expenses]], ACOAETME2022[[#All],[Insurance Category Code]],1, ACOAETME2022[[#All],[ACO/AE or Insurer Overall Organization ID]],Q86), 2)</f>
        <v>1</v>
      </c>
      <c r="AG86" s="454" t="str">
        <f t="shared" si="11"/>
        <v>NA</v>
      </c>
    </row>
    <row r="87" spans="2:33" x14ac:dyDescent="0.35">
      <c r="B87" s="115">
        <v>106</v>
      </c>
      <c r="C87" s="192">
        <f>ROUND(SUMIFS(AgeSex21[[#All],[Total Member Months by Age/Sex Band]], AgeSex21[[#All],[ACO/AE ID or Insurer Overall]], $B87, AgeSex21[[#All], [Insurance Category Code]],1), 2)</f>
        <v>0</v>
      </c>
      <c r="D87" s="452">
        <f>ROUND(SUMIFS(AgeSex21[[#All],[Total Dollars Excluded from Spending After Applying Truncation at the Member Level]], AgeSex21[[#All],[ACO/AE ID or Insurer Overall]], $B87, AgeSex21[[#All], [Insurance Category Code]],1), 2)</f>
        <v>0</v>
      </c>
      <c r="E87" s="6">
        <f>ROUND(SUMIFS(AgeSex21[[#All],[Count of Members Whose Spending was Truncated]], AgeSex21[[#All],[ACO/AE ID or Insurer Overall]], $B87, AgeSex21[[#All], [Insurance Category Code]],1), 2)</f>
        <v>0</v>
      </c>
      <c r="F87" s="452">
        <f>ROUND(SUMIFS(AgeSex21[[#All],[Total Spending before Truncation is Applied]], AgeSex21[[#All],[ACO/AE ID or Insurer Overall]], $B87, AgeSex21[[#All], [Insurance Category Code]],1), 2)</f>
        <v>0</v>
      </c>
      <c r="G87" s="452">
        <f>ROUND(SUMIFS(AgeSex21[[#All],[Total Spending After Applying Truncation at the Member Level]], AgeSex21[[#All],[ACO/AE ID or Insurer Overall]], $B87, AgeSex21[[#All], [Insurance Category Code]],1), 2)</f>
        <v>0</v>
      </c>
      <c r="H87" s="6" t="str">
        <f>IF(C87=ROUND(SUMIFS(ACOAETME2021[[#All],[Member Months]], ACOAETME2021[[#All],[Insurance Category Code]],1, ACOAETME2021[[#All],[ACO/AE or Insurer Overall Organization ID]],B87),2), "TRUE", ROUND(C87-SUMIFS(ACOAETME2021[[#All],[Member Months]], ACOAETME2021[[#All],[Insurance Category Code]],1, ACOAETME2021[[#All],[ACO/AE or Insurer Overall Organization ID]],B87),2))</f>
        <v>TRUE</v>
      </c>
      <c r="I87" s="6" t="str">
        <f>IF(D87=ROUND(SUMIFS(ACOAETME2021[[#All],[Total Claims Excluded because of Truncation]], ACOAETME2021[[#All],[Insurance Category Code]],1, ACOAETME2021[[#All],[ACO/AE or Insurer Overall Organization ID]],B87),2), "TRUE", ROUND(D87-SUMIFS(ACOAETME2021[[#All],[Total Claims Excluded because of Truncation]], ACOAETME2021[[#All],[Insurance Category Code]],1, ACOAETME2021[[#All],[ACO/AE or Insurer Overall Organization ID]],B87),2))</f>
        <v>TRUE</v>
      </c>
      <c r="J87" s="6" t="str">
        <f>IF(E87=ROUND(SUMIFS(ACOAETME2021[[#All],[Count of Members with Claims Truncated]], ACOAETME2021[[#All],[Insurance Category Code]],1, ACOAETME2021[[#All],[ACO/AE or Insurer Overall Organization ID]],B87),2), "TRUE", ROUND(E87-SUMIFS(ACOAETME2021[[#All],[Count of Members with Claims Truncated]], ACOAETME2021[[#All],[Insurance Category Code]],1, ACOAETME2021[[#All],[ACO/AE or Insurer Overall Organization ID]],B87),2))</f>
        <v>TRUE</v>
      </c>
      <c r="K87" s="6" t="str">
        <f>IF(F87=ROUND(SUMIFS(ACOAETME2021[[#All],[TOTAL Non-Truncated Unadjusted Claims Expenses]], ACOAETME2021[[#All],[Insurance Category Code]],1, ACOAETME2021[[#All],[ACO/AE or Insurer Overall Organization ID]],B87),2), "TRUE", ROUND(F87-SUMIFS(ACOAETME2021[[#All],[TOTAL Non-Truncated Unadjusted Claims Expenses]], ACOAETME2021[[#All],[Insurance Category Code]],1, ACOAETME2021[[#All],[ACO/AE or Insurer Overall Organization ID]],B87),2))</f>
        <v>TRUE</v>
      </c>
      <c r="L87" s="6" t="str">
        <f>IF(G87=ROUND(SUMIFS(ACOAETME2021[[#All],[TOTAL Truncated Unadjusted Claims Expenses (A19 - A17)]], ACOAETME2021[[#All],[Insurance Category Code]],1, ACOAETME2021[[#All],[ACO/AE or Insurer Overall Organization ID]],B87),2), "TRUE", ROUND(G87-SUMIFS(ACOAETME2021[[#All],[TOTAL Truncated Unadjusted Claims Expenses (A19 - A17)]], ACOAETME2021[[#All],[Insurance Category Code]],1, ACOAETME2021[[#All],[ACO/AE or Insurer Overall Organization ID]],B87),2))</f>
        <v>TRUE</v>
      </c>
      <c r="M87" s="6" t="str">
        <f t="shared" si="9"/>
        <v>TRUE</v>
      </c>
      <c r="N87" s="6" t="b">
        <f>ROUND(SUMIFS(ACOAETME2021[[#All],[TOTAL Non-Truncated Unadjusted Claims Expenses]], ACOAETME2021[[#All],[Insurance Category Code]],1, ACOAETME2021[[#All],[ACO/AE or Insurer Overall Organization ID]],B87), 2)&gt;=ROUND(SUMIFS(ACOAETME2021[[#All],[TOTAL Truncated Unadjusted Claims Expenses (A19 - A17)]], ACOAETME2021[[#All],[Insurance Category Code]],1, ACOAETME2021[[#All],[ACO/AE or Insurer Overall Organization ID]],B87),2)</f>
        <v>1</v>
      </c>
      <c r="O87" s="6" t="b">
        <f>ROUND(SUMIFS(ACOAETME2021[[#All],[TOTAL Truncated Unadjusted Claims Expenses (A19 - A17)]], ACOAETME2021[[#All],[Insurance Category Code]],1, ACOAETME2021[[#All],[ACO/AE or Insurer Overall Organization ID]],B87)+SUMIFS(ACOAETME2021[[#All],[Total Claims Excluded because of Truncation]], ACOAETME2021[[#All],[Insurance Category Code]],1, ACOAETME2021[[#All],[ACO/AE or Insurer Overall Organization ID]],B87),2)=ROUND(SUMIFS(ACOAETME2021[[#All],[TOTAL Non-Truncated Unadjusted Claims Expenses]], ACOAETME2021[[#All],[Insurance Category Code]],1, ACOAETME2021[[#All],[ACO/AE or Insurer Overall Organization ID]],B87), 2)</f>
        <v>1</v>
      </c>
      <c r="Q87" s="115">
        <v>106</v>
      </c>
      <c r="R87" s="194">
        <f>ROUND(SUMIFS(AgeSex22[[#All],[Total Member Months by Age/Sex Band]], AgeSex22[[#All],[ACO/AE ID or Insurer Overall]], $B87, AgeSex22[[#All], [Insurance Category Code]],1), 2)</f>
        <v>0</v>
      </c>
      <c r="S87" s="452">
        <f>ROUND(SUMIFS(AgeSex22[[#All],[Total Dollars Excluded from Spending After Applying Truncation at the Member Level]], AgeSex22[[#All],[ACO/AE ID or Insurer Overall]], $B87, AgeSex22[[#All], [Insurance Category Code]],1), 2)</f>
        <v>0</v>
      </c>
      <c r="T87" s="6">
        <f>ROUND(SUMIFS(AgeSex22[[#All],[Count of Members Whose Spending was Truncated]], AgeSex22[[#All],[ACO/AE ID or Insurer Overall]], $B87, AgeSex22[[#All], [Insurance Category Code]],1), 2)</f>
        <v>0</v>
      </c>
      <c r="U87" s="452">
        <f>ROUND(SUMIFS(AgeSex22[[#All],[Total Spending before Truncation is Applied]], AgeSex22[[#All],[ACO/AE ID or Insurer Overall]], $B87, AgeSex22[[#All], [Insurance Category Code]],1), 2)</f>
        <v>0</v>
      </c>
      <c r="V87" s="452">
        <f>ROUND(SUMIFS(AgeSex22[[#All],[Total Spending After Applying Truncation at the Member Level]], AgeSex22[[#All],[ACO/AE ID or Insurer Overall]], $B87, AgeSex22[[#All], [Insurance Category Code]],1), 2)</f>
        <v>0</v>
      </c>
      <c r="W87" s="457" t="str">
        <f>IF(R87=ROUND(SUMIFS(ACOAETME2022[[#All],[Member Months]], ACOAETME2022[[#All],[Insurance Category Code]],1, ACOAETME2022[[#All],[ACO/AE or Insurer Overall Organization ID]],Q87),2), "TRUE", ROUND(R87-SUMIFS(ACOAETME2022[[#All],[Member Months]], ACOAETME2022[[#All],[Insurance Category Code]],1, ACOAETME2022[[#All],[ACO/AE or Insurer Overall Organization ID]],Q87),2))</f>
        <v>TRUE</v>
      </c>
      <c r="X87" s="6" t="str">
        <f>IF(S87=ROUND(SUMIFS(ACOAETME2022[[#All],[Total Claims Excluded because of Truncation]], ACOAETME2022[[#All],[Insurance Category Code]],1, ACOAETME2022[[#All],[ACO/AE or Insurer Overall Organization ID]],Q87),2), "TRUE", ROUND(S87-SUMIFS(ACOAETME2022[[#All],[Total Claims Excluded because of Truncation]], ACOAETME2022[[#All],[Insurance Category Code]],1, ACOAETME2022[[#All],[ACO/AE or Insurer Overall Organization ID]],Q87),2))</f>
        <v>TRUE</v>
      </c>
      <c r="Y87" s="6" t="str">
        <f>IF(T87=ROUND(SUMIFS(ACOAETME2022[[#All],[Count of Members with Claims Truncated]], ACOAETME2022[[#All],[Insurance Category Code]],1, ACOAETME2022[[#All],[ACO/AE or Insurer Overall Organization ID]],Q87),2), "TRUE", ROUND(T87-SUMIFS(ACOAETME2022[[#All],[Count of Members with Claims Truncated]], ACOAETME2022[[#All],[Insurance Category Code]],1, ACOAETME2022[[#All],[ACO/AE or Insurer Overall Organization ID]],Q87),2))</f>
        <v>TRUE</v>
      </c>
      <c r="Z87" s="6" t="str">
        <f>IF(U87=ROUND(SUMIFS(ACOAETME2022[[#All],[TOTAL Non-Truncated Unadjusted Claims Expenses]], ACOAETME2022[[#All],[Insurance Category Code]],1, ACOAETME2022[[#All],[ACO/AE or Insurer Overall Organization ID]],Q87),2), "TRUE", ROUND(U87-SUMIFS(ACOAETME2022[[#All],[TOTAL Non-Truncated Unadjusted Claims Expenses]], ACOAETME2022[[#All],[Insurance Category Code]],1, ACOAETME2022[[#All],[ACO/AE or Insurer Overall Organization ID]],Q87),2))</f>
        <v>TRUE</v>
      </c>
      <c r="AA87" s="6" t="str">
        <f>IF(V87=ROUND(SUMIFS(ACOAETME2022[[#All],[TOTAL Truncated Unadjusted Claims Expenses (A19 - A17)]], ACOAETME2022[[#All],[Insurance Category Code]],1, ACOAETME2022[[#All],[ACO/AE or Insurer Overall Organization ID]],Q87),2), "TRUE", ROUND(V87-SUMIFS(ACOAETME2022[[#All],[TOTAL Truncated Unadjusted Claims Expenses (A19 - A17)]], ACOAETME2022[[#All],[Insurance Category Code]],1, ACOAETME2022[[#All],[ACO/AE or Insurer Overall Organization ID]],Q87),2))</f>
        <v>TRUE</v>
      </c>
      <c r="AB87" s="6" t="str">
        <f t="shared" si="10"/>
        <v>TRUE</v>
      </c>
      <c r="AC87" s="6" t="b">
        <f>ROUND(SUMIFS(ACOAETME2022[[#All],[TOTAL Non-Truncated Unadjusted Claims Expenses]], ACOAETME2022[[#All],[Insurance Category Code]],1, ACOAETME2022[[#All],[ACO/AE or Insurer Overall Organization ID]],Q87), 2)&gt;=ROUND(SUMIFS(ACOAETME2022[[#All],[TOTAL Truncated Unadjusted Claims Expenses (A19 - A17)]], ACOAETME2022[[#All],[Insurance Category Code]],1, ACOAETME2022[[#All],[ACO/AE or Insurer Overall Organization ID]],Q87),2)</f>
        <v>1</v>
      </c>
      <c r="AD87" s="6" t="b">
        <f>ROUND(SUMIFS(ACOAETME2022[[#All],[TOTAL Truncated Unadjusted Claims Expenses (A19 - A17)]], ACOAETME2022[[#All],[Insurance Category Code]],1, ACOAETME2022[[#All],[ACO/AE or Insurer Overall Organization ID]],Q87)+SUMIFS(ACOAETME2022[[#All],[Total Claims Excluded because of Truncation]], ACOAETME2022[[#All],[Insurance Category Code]],1, ACOAETME2022[[#All],[ACO/AE or Insurer Overall Organization ID]],Q87),2)=ROUND(SUMIFS(ACOAETME2022[[#All],[TOTAL Non-Truncated Unadjusted Claims Expenses]], ACOAETME2022[[#All],[Insurance Category Code]],1, ACOAETME2022[[#All],[ACO/AE or Insurer Overall Organization ID]],Q87), 2)</f>
        <v>1</v>
      </c>
      <c r="AG87" s="454" t="str">
        <f t="shared" si="11"/>
        <v>NA</v>
      </c>
    </row>
    <row r="88" spans="2:33" x14ac:dyDescent="0.35">
      <c r="B88" s="115">
        <v>107</v>
      </c>
      <c r="C88" s="192">
        <f>ROUND(SUMIFS(AgeSex21[[#All],[Total Member Months by Age/Sex Band]], AgeSex21[[#All],[ACO/AE ID or Insurer Overall]], $B88, AgeSex21[[#All], [Insurance Category Code]],1), 2)</f>
        <v>0</v>
      </c>
      <c r="D88" s="452">
        <f>ROUND(SUMIFS(AgeSex21[[#All],[Total Dollars Excluded from Spending After Applying Truncation at the Member Level]], AgeSex21[[#All],[ACO/AE ID or Insurer Overall]], $B88, AgeSex21[[#All], [Insurance Category Code]],1), 2)</f>
        <v>0</v>
      </c>
      <c r="E88" s="6">
        <f>ROUND(SUMIFS(AgeSex21[[#All],[Count of Members Whose Spending was Truncated]], AgeSex21[[#All],[ACO/AE ID or Insurer Overall]], $B88, AgeSex21[[#All], [Insurance Category Code]],1), 2)</f>
        <v>0</v>
      </c>
      <c r="F88" s="452">
        <f>ROUND(SUMIFS(AgeSex21[[#All],[Total Spending before Truncation is Applied]], AgeSex21[[#All],[ACO/AE ID or Insurer Overall]], $B88, AgeSex21[[#All], [Insurance Category Code]],1), 2)</f>
        <v>0</v>
      </c>
      <c r="G88" s="452">
        <f>ROUND(SUMIFS(AgeSex21[[#All],[Total Spending After Applying Truncation at the Member Level]], AgeSex21[[#All],[ACO/AE ID or Insurer Overall]], $B88, AgeSex21[[#All], [Insurance Category Code]],1), 2)</f>
        <v>0</v>
      </c>
      <c r="H88" s="6" t="str">
        <f>IF(C88=ROUND(SUMIFS(ACOAETME2021[[#All],[Member Months]], ACOAETME2021[[#All],[Insurance Category Code]],1, ACOAETME2021[[#All],[ACO/AE or Insurer Overall Organization ID]],B88),2), "TRUE", ROUND(C88-SUMIFS(ACOAETME2021[[#All],[Member Months]], ACOAETME2021[[#All],[Insurance Category Code]],1, ACOAETME2021[[#All],[ACO/AE or Insurer Overall Organization ID]],B88),2))</f>
        <v>TRUE</v>
      </c>
      <c r="I88" s="6" t="str">
        <f>IF(D88=ROUND(SUMIFS(ACOAETME2021[[#All],[Total Claims Excluded because of Truncation]], ACOAETME2021[[#All],[Insurance Category Code]],1, ACOAETME2021[[#All],[ACO/AE or Insurer Overall Organization ID]],B88),2), "TRUE", ROUND(D88-SUMIFS(ACOAETME2021[[#All],[Total Claims Excluded because of Truncation]], ACOAETME2021[[#All],[Insurance Category Code]],1, ACOAETME2021[[#All],[ACO/AE or Insurer Overall Organization ID]],B88),2))</f>
        <v>TRUE</v>
      </c>
      <c r="J88" s="6" t="str">
        <f>IF(E88=ROUND(SUMIFS(ACOAETME2021[[#All],[Count of Members with Claims Truncated]], ACOAETME2021[[#All],[Insurance Category Code]],1, ACOAETME2021[[#All],[ACO/AE or Insurer Overall Organization ID]],B88),2), "TRUE", ROUND(E88-SUMIFS(ACOAETME2021[[#All],[Count of Members with Claims Truncated]], ACOAETME2021[[#All],[Insurance Category Code]],1, ACOAETME2021[[#All],[ACO/AE or Insurer Overall Organization ID]],B88),2))</f>
        <v>TRUE</v>
      </c>
      <c r="K88" s="6" t="str">
        <f>IF(F88=ROUND(SUMIFS(ACOAETME2021[[#All],[TOTAL Non-Truncated Unadjusted Claims Expenses]], ACOAETME2021[[#All],[Insurance Category Code]],1, ACOAETME2021[[#All],[ACO/AE or Insurer Overall Organization ID]],B88),2), "TRUE", ROUND(F88-SUMIFS(ACOAETME2021[[#All],[TOTAL Non-Truncated Unadjusted Claims Expenses]], ACOAETME2021[[#All],[Insurance Category Code]],1, ACOAETME2021[[#All],[ACO/AE or Insurer Overall Organization ID]],B88),2))</f>
        <v>TRUE</v>
      </c>
      <c r="L88" s="6" t="str">
        <f>IF(G88=ROUND(SUMIFS(ACOAETME2021[[#All],[TOTAL Truncated Unadjusted Claims Expenses (A19 - A17)]], ACOAETME2021[[#All],[Insurance Category Code]],1, ACOAETME2021[[#All],[ACO/AE or Insurer Overall Organization ID]],B88),2), "TRUE", ROUND(G88-SUMIFS(ACOAETME2021[[#All],[TOTAL Truncated Unadjusted Claims Expenses (A19 - A17)]], ACOAETME2021[[#All],[Insurance Category Code]],1, ACOAETME2021[[#All],[ACO/AE or Insurer Overall Organization ID]],B88),2))</f>
        <v>TRUE</v>
      </c>
      <c r="M88" s="6" t="str">
        <f t="shared" si="9"/>
        <v>TRUE</v>
      </c>
      <c r="N88" s="6" t="b">
        <f>ROUND(SUMIFS(ACOAETME2021[[#All],[TOTAL Non-Truncated Unadjusted Claims Expenses]], ACOAETME2021[[#All],[Insurance Category Code]],1, ACOAETME2021[[#All],[ACO/AE or Insurer Overall Organization ID]],B88), 2)&gt;=ROUND(SUMIFS(ACOAETME2021[[#All],[TOTAL Truncated Unadjusted Claims Expenses (A19 - A17)]], ACOAETME2021[[#All],[Insurance Category Code]],1, ACOAETME2021[[#All],[ACO/AE or Insurer Overall Organization ID]],B88),2)</f>
        <v>1</v>
      </c>
      <c r="O88" s="6" t="b">
        <f>ROUND(SUMIFS(ACOAETME2021[[#All],[TOTAL Truncated Unadjusted Claims Expenses (A19 - A17)]], ACOAETME2021[[#All],[Insurance Category Code]],1, ACOAETME2021[[#All],[ACO/AE or Insurer Overall Organization ID]],B88)+SUMIFS(ACOAETME2021[[#All],[Total Claims Excluded because of Truncation]], ACOAETME2021[[#All],[Insurance Category Code]],1, ACOAETME2021[[#All],[ACO/AE or Insurer Overall Organization ID]],B88),2)=ROUND(SUMIFS(ACOAETME2021[[#All],[TOTAL Non-Truncated Unadjusted Claims Expenses]], ACOAETME2021[[#All],[Insurance Category Code]],1, ACOAETME2021[[#All],[ACO/AE or Insurer Overall Organization ID]],B88), 2)</f>
        <v>1</v>
      </c>
      <c r="Q88" s="115">
        <v>107</v>
      </c>
      <c r="R88" s="194">
        <f>ROUND(SUMIFS(AgeSex22[[#All],[Total Member Months by Age/Sex Band]], AgeSex22[[#All],[ACO/AE ID or Insurer Overall]], $B88, AgeSex22[[#All], [Insurance Category Code]],1), 2)</f>
        <v>0</v>
      </c>
      <c r="S88" s="452">
        <f>ROUND(SUMIFS(AgeSex22[[#All],[Total Dollars Excluded from Spending After Applying Truncation at the Member Level]], AgeSex22[[#All],[ACO/AE ID or Insurer Overall]], $B88, AgeSex22[[#All], [Insurance Category Code]],1), 2)</f>
        <v>0</v>
      </c>
      <c r="T88" s="6">
        <f>ROUND(SUMIFS(AgeSex22[[#All],[Count of Members Whose Spending was Truncated]], AgeSex22[[#All],[ACO/AE ID or Insurer Overall]], $B88, AgeSex22[[#All], [Insurance Category Code]],1), 2)</f>
        <v>0</v>
      </c>
      <c r="U88" s="452">
        <f>ROUND(SUMIFS(AgeSex22[[#All],[Total Spending before Truncation is Applied]], AgeSex22[[#All],[ACO/AE ID or Insurer Overall]], $B88, AgeSex22[[#All], [Insurance Category Code]],1), 2)</f>
        <v>0</v>
      </c>
      <c r="V88" s="452">
        <f>ROUND(SUMIFS(AgeSex22[[#All],[Total Spending After Applying Truncation at the Member Level]], AgeSex22[[#All],[ACO/AE ID or Insurer Overall]], $B88, AgeSex22[[#All], [Insurance Category Code]],1), 2)</f>
        <v>0</v>
      </c>
      <c r="W88" s="457" t="str">
        <f>IF(R88=ROUND(SUMIFS(ACOAETME2022[[#All],[Member Months]], ACOAETME2022[[#All],[Insurance Category Code]],1, ACOAETME2022[[#All],[ACO/AE or Insurer Overall Organization ID]],Q88),2), "TRUE", ROUND(R88-SUMIFS(ACOAETME2022[[#All],[Member Months]], ACOAETME2022[[#All],[Insurance Category Code]],1, ACOAETME2022[[#All],[ACO/AE or Insurer Overall Organization ID]],Q88),2))</f>
        <v>TRUE</v>
      </c>
      <c r="X88" s="6" t="str">
        <f>IF(S88=ROUND(SUMIFS(ACOAETME2022[[#All],[Total Claims Excluded because of Truncation]], ACOAETME2022[[#All],[Insurance Category Code]],1, ACOAETME2022[[#All],[ACO/AE or Insurer Overall Organization ID]],Q88),2), "TRUE", ROUND(S88-SUMIFS(ACOAETME2022[[#All],[Total Claims Excluded because of Truncation]], ACOAETME2022[[#All],[Insurance Category Code]],1, ACOAETME2022[[#All],[ACO/AE or Insurer Overall Organization ID]],Q88),2))</f>
        <v>TRUE</v>
      </c>
      <c r="Y88" s="6" t="str">
        <f>IF(T88=ROUND(SUMIFS(ACOAETME2022[[#All],[Count of Members with Claims Truncated]], ACOAETME2022[[#All],[Insurance Category Code]],1, ACOAETME2022[[#All],[ACO/AE or Insurer Overall Organization ID]],Q88),2), "TRUE", ROUND(T88-SUMIFS(ACOAETME2022[[#All],[Count of Members with Claims Truncated]], ACOAETME2022[[#All],[Insurance Category Code]],1, ACOAETME2022[[#All],[ACO/AE or Insurer Overall Organization ID]],Q88),2))</f>
        <v>TRUE</v>
      </c>
      <c r="Z88" s="6" t="str">
        <f>IF(U88=ROUND(SUMIFS(ACOAETME2022[[#All],[TOTAL Non-Truncated Unadjusted Claims Expenses]], ACOAETME2022[[#All],[Insurance Category Code]],1, ACOAETME2022[[#All],[ACO/AE or Insurer Overall Organization ID]],Q88),2), "TRUE", ROUND(U88-SUMIFS(ACOAETME2022[[#All],[TOTAL Non-Truncated Unadjusted Claims Expenses]], ACOAETME2022[[#All],[Insurance Category Code]],1, ACOAETME2022[[#All],[ACO/AE or Insurer Overall Organization ID]],Q88),2))</f>
        <v>TRUE</v>
      </c>
      <c r="AA88" s="6" t="str">
        <f>IF(V88=ROUND(SUMIFS(ACOAETME2022[[#All],[TOTAL Truncated Unadjusted Claims Expenses (A19 - A17)]], ACOAETME2022[[#All],[Insurance Category Code]],1, ACOAETME2022[[#All],[ACO/AE or Insurer Overall Organization ID]],Q88),2), "TRUE", ROUND(V88-SUMIFS(ACOAETME2022[[#All],[TOTAL Truncated Unadjusted Claims Expenses (A19 - A17)]], ACOAETME2022[[#All],[Insurance Category Code]],1, ACOAETME2022[[#All],[ACO/AE or Insurer Overall Organization ID]],Q88),2))</f>
        <v>TRUE</v>
      </c>
      <c r="AB88" s="6" t="str">
        <f t="shared" si="10"/>
        <v>TRUE</v>
      </c>
      <c r="AC88" s="6" t="b">
        <f>ROUND(SUMIFS(ACOAETME2022[[#All],[TOTAL Non-Truncated Unadjusted Claims Expenses]], ACOAETME2022[[#All],[Insurance Category Code]],1, ACOAETME2022[[#All],[ACO/AE or Insurer Overall Organization ID]],Q88), 2)&gt;=ROUND(SUMIFS(ACOAETME2022[[#All],[TOTAL Truncated Unadjusted Claims Expenses (A19 - A17)]], ACOAETME2022[[#All],[Insurance Category Code]],1, ACOAETME2022[[#All],[ACO/AE or Insurer Overall Organization ID]],Q88),2)</f>
        <v>1</v>
      </c>
      <c r="AD88" s="6" t="b">
        <f>ROUND(SUMIFS(ACOAETME2022[[#All],[TOTAL Truncated Unadjusted Claims Expenses (A19 - A17)]], ACOAETME2022[[#All],[Insurance Category Code]],1, ACOAETME2022[[#All],[ACO/AE or Insurer Overall Organization ID]],Q88)+SUMIFS(ACOAETME2022[[#All],[Total Claims Excluded because of Truncation]], ACOAETME2022[[#All],[Insurance Category Code]],1, ACOAETME2022[[#All],[ACO/AE or Insurer Overall Organization ID]],Q88),2)=ROUND(SUMIFS(ACOAETME2022[[#All],[TOTAL Non-Truncated Unadjusted Claims Expenses]], ACOAETME2022[[#All],[Insurance Category Code]],1, ACOAETME2022[[#All],[ACO/AE or Insurer Overall Organization ID]],Q88), 2)</f>
        <v>1</v>
      </c>
      <c r="AG88" s="454" t="str">
        <f t="shared" si="11"/>
        <v>NA</v>
      </c>
    </row>
    <row r="89" spans="2:33" x14ac:dyDescent="0.35">
      <c r="B89" s="115">
        <v>108</v>
      </c>
      <c r="C89" s="192">
        <f>ROUND(SUMIFS(AgeSex21[[#All],[Total Member Months by Age/Sex Band]], AgeSex21[[#All],[ACO/AE ID or Insurer Overall]], $B89, AgeSex21[[#All], [Insurance Category Code]],1), 2)</f>
        <v>0</v>
      </c>
      <c r="D89" s="452">
        <f>ROUND(SUMIFS(AgeSex21[[#All],[Total Dollars Excluded from Spending After Applying Truncation at the Member Level]], AgeSex21[[#All],[ACO/AE ID or Insurer Overall]], $B89, AgeSex21[[#All], [Insurance Category Code]],1), 2)</f>
        <v>0</v>
      </c>
      <c r="E89" s="6">
        <f>ROUND(SUMIFS(AgeSex21[[#All],[Count of Members Whose Spending was Truncated]], AgeSex21[[#All],[ACO/AE ID or Insurer Overall]], $B89, AgeSex21[[#All], [Insurance Category Code]],1), 2)</f>
        <v>0</v>
      </c>
      <c r="F89" s="452">
        <f>ROUND(SUMIFS(AgeSex21[[#All],[Total Spending before Truncation is Applied]], AgeSex21[[#All],[ACO/AE ID or Insurer Overall]], $B89, AgeSex21[[#All], [Insurance Category Code]],1), 2)</f>
        <v>0</v>
      </c>
      <c r="G89" s="452">
        <f>ROUND(SUMIFS(AgeSex21[[#All],[Total Spending After Applying Truncation at the Member Level]], AgeSex21[[#All],[ACO/AE ID or Insurer Overall]], $B89, AgeSex21[[#All], [Insurance Category Code]],1), 2)</f>
        <v>0</v>
      </c>
      <c r="H89" s="6" t="str">
        <f>IF(C89=ROUND(SUMIFS(ACOAETME2021[[#All],[Member Months]], ACOAETME2021[[#All],[Insurance Category Code]],1, ACOAETME2021[[#All],[ACO/AE or Insurer Overall Organization ID]],B89),2), "TRUE", ROUND(C89-SUMIFS(ACOAETME2021[[#All],[Member Months]], ACOAETME2021[[#All],[Insurance Category Code]],1, ACOAETME2021[[#All],[ACO/AE or Insurer Overall Organization ID]],B89),2))</f>
        <v>TRUE</v>
      </c>
      <c r="I89" s="6" t="str">
        <f>IF(D89=ROUND(SUMIFS(ACOAETME2021[[#All],[Total Claims Excluded because of Truncation]], ACOAETME2021[[#All],[Insurance Category Code]],1, ACOAETME2021[[#All],[ACO/AE or Insurer Overall Organization ID]],B89),2), "TRUE", ROUND(D89-SUMIFS(ACOAETME2021[[#All],[Total Claims Excluded because of Truncation]], ACOAETME2021[[#All],[Insurance Category Code]],1, ACOAETME2021[[#All],[ACO/AE or Insurer Overall Organization ID]],B89),2))</f>
        <v>TRUE</v>
      </c>
      <c r="J89" s="6" t="str">
        <f>IF(E89=ROUND(SUMIFS(ACOAETME2021[[#All],[Count of Members with Claims Truncated]], ACOAETME2021[[#All],[Insurance Category Code]],1, ACOAETME2021[[#All],[ACO/AE or Insurer Overall Organization ID]],B89),2), "TRUE", ROUND(E89-SUMIFS(ACOAETME2021[[#All],[Count of Members with Claims Truncated]], ACOAETME2021[[#All],[Insurance Category Code]],1, ACOAETME2021[[#All],[ACO/AE or Insurer Overall Organization ID]],B89),2))</f>
        <v>TRUE</v>
      </c>
      <c r="K89" s="6" t="str">
        <f>IF(F89=ROUND(SUMIFS(ACOAETME2021[[#All],[TOTAL Non-Truncated Unadjusted Claims Expenses]], ACOAETME2021[[#All],[Insurance Category Code]],1, ACOAETME2021[[#All],[ACO/AE or Insurer Overall Organization ID]],B89),2), "TRUE", ROUND(F89-SUMIFS(ACOAETME2021[[#All],[TOTAL Non-Truncated Unadjusted Claims Expenses]], ACOAETME2021[[#All],[Insurance Category Code]],1, ACOAETME2021[[#All],[ACO/AE or Insurer Overall Organization ID]],B89),2))</f>
        <v>TRUE</v>
      </c>
      <c r="L89" s="6" t="str">
        <f>IF(G89=ROUND(SUMIFS(ACOAETME2021[[#All],[TOTAL Truncated Unadjusted Claims Expenses (A19 - A17)]], ACOAETME2021[[#All],[Insurance Category Code]],1, ACOAETME2021[[#All],[ACO/AE or Insurer Overall Organization ID]],B89),2), "TRUE", ROUND(G89-SUMIFS(ACOAETME2021[[#All],[TOTAL Truncated Unadjusted Claims Expenses (A19 - A17)]], ACOAETME2021[[#All],[Insurance Category Code]],1, ACOAETME2021[[#All],[ACO/AE or Insurer Overall Organization ID]],B89),2))</f>
        <v>TRUE</v>
      </c>
      <c r="M89" s="6" t="str">
        <f t="shared" si="9"/>
        <v>TRUE</v>
      </c>
      <c r="N89" s="6" t="b">
        <f>ROUND(SUMIFS(ACOAETME2021[[#All],[TOTAL Non-Truncated Unadjusted Claims Expenses]], ACOAETME2021[[#All],[Insurance Category Code]],1, ACOAETME2021[[#All],[ACO/AE or Insurer Overall Organization ID]],B89), 2)&gt;=ROUND(SUMIFS(ACOAETME2021[[#All],[TOTAL Truncated Unadjusted Claims Expenses (A19 - A17)]], ACOAETME2021[[#All],[Insurance Category Code]],1, ACOAETME2021[[#All],[ACO/AE or Insurer Overall Organization ID]],B89),2)</f>
        <v>1</v>
      </c>
      <c r="O89" s="6" t="b">
        <f>ROUND(SUMIFS(ACOAETME2021[[#All],[TOTAL Truncated Unadjusted Claims Expenses (A19 - A17)]], ACOAETME2021[[#All],[Insurance Category Code]],1, ACOAETME2021[[#All],[ACO/AE or Insurer Overall Organization ID]],B89)+SUMIFS(ACOAETME2021[[#All],[Total Claims Excluded because of Truncation]], ACOAETME2021[[#All],[Insurance Category Code]],1, ACOAETME2021[[#All],[ACO/AE or Insurer Overall Organization ID]],B89),2)=ROUND(SUMIFS(ACOAETME2021[[#All],[TOTAL Non-Truncated Unadjusted Claims Expenses]], ACOAETME2021[[#All],[Insurance Category Code]],1, ACOAETME2021[[#All],[ACO/AE or Insurer Overall Organization ID]],B89), 2)</f>
        <v>1</v>
      </c>
      <c r="Q89" s="115">
        <v>108</v>
      </c>
      <c r="R89" s="194">
        <f>ROUND(SUMIFS(AgeSex22[[#All],[Total Member Months by Age/Sex Band]], AgeSex22[[#All],[ACO/AE ID or Insurer Overall]], $B89, AgeSex22[[#All], [Insurance Category Code]],1), 2)</f>
        <v>0</v>
      </c>
      <c r="S89" s="452">
        <f>ROUND(SUMIFS(AgeSex22[[#All],[Total Dollars Excluded from Spending After Applying Truncation at the Member Level]], AgeSex22[[#All],[ACO/AE ID or Insurer Overall]], $B89, AgeSex22[[#All], [Insurance Category Code]],1), 2)</f>
        <v>0</v>
      </c>
      <c r="T89" s="6">
        <f>ROUND(SUMIFS(AgeSex22[[#All],[Count of Members Whose Spending was Truncated]], AgeSex22[[#All],[ACO/AE ID or Insurer Overall]], $B89, AgeSex22[[#All], [Insurance Category Code]],1), 2)</f>
        <v>0</v>
      </c>
      <c r="U89" s="452">
        <f>ROUND(SUMIFS(AgeSex22[[#All],[Total Spending before Truncation is Applied]], AgeSex22[[#All],[ACO/AE ID or Insurer Overall]], $B89, AgeSex22[[#All], [Insurance Category Code]],1), 2)</f>
        <v>0</v>
      </c>
      <c r="V89" s="452">
        <f>ROUND(SUMIFS(AgeSex22[[#All],[Total Spending After Applying Truncation at the Member Level]], AgeSex22[[#All],[ACO/AE ID or Insurer Overall]], $B89, AgeSex22[[#All], [Insurance Category Code]],1), 2)</f>
        <v>0</v>
      </c>
      <c r="W89" s="457" t="str">
        <f>IF(R89=ROUND(SUMIFS(ACOAETME2022[[#All],[Member Months]], ACOAETME2022[[#All],[Insurance Category Code]],1, ACOAETME2022[[#All],[ACO/AE or Insurer Overall Organization ID]],Q89),2), "TRUE", ROUND(R89-SUMIFS(ACOAETME2022[[#All],[Member Months]], ACOAETME2022[[#All],[Insurance Category Code]],1, ACOAETME2022[[#All],[ACO/AE or Insurer Overall Organization ID]],Q89),2))</f>
        <v>TRUE</v>
      </c>
      <c r="X89" s="6" t="str">
        <f>IF(S89=ROUND(SUMIFS(ACOAETME2022[[#All],[Total Claims Excluded because of Truncation]], ACOAETME2022[[#All],[Insurance Category Code]],1, ACOAETME2022[[#All],[ACO/AE or Insurer Overall Organization ID]],Q89),2), "TRUE", ROUND(S89-SUMIFS(ACOAETME2022[[#All],[Total Claims Excluded because of Truncation]], ACOAETME2022[[#All],[Insurance Category Code]],1, ACOAETME2022[[#All],[ACO/AE or Insurer Overall Organization ID]],Q89),2))</f>
        <v>TRUE</v>
      </c>
      <c r="Y89" s="6" t="str">
        <f>IF(T89=ROUND(SUMIFS(ACOAETME2022[[#All],[Count of Members with Claims Truncated]], ACOAETME2022[[#All],[Insurance Category Code]],1, ACOAETME2022[[#All],[ACO/AE or Insurer Overall Organization ID]],Q89),2), "TRUE", ROUND(T89-SUMIFS(ACOAETME2022[[#All],[Count of Members with Claims Truncated]], ACOAETME2022[[#All],[Insurance Category Code]],1, ACOAETME2022[[#All],[ACO/AE or Insurer Overall Organization ID]],Q89),2))</f>
        <v>TRUE</v>
      </c>
      <c r="Z89" s="6" t="str">
        <f>IF(U89=ROUND(SUMIFS(ACOAETME2022[[#All],[TOTAL Non-Truncated Unadjusted Claims Expenses]], ACOAETME2022[[#All],[Insurance Category Code]],1, ACOAETME2022[[#All],[ACO/AE or Insurer Overall Organization ID]],Q89),2), "TRUE", ROUND(U89-SUMIFS(ACOAETME2022[[#All],[TOTAL Non-Truncated Unadjusted Claims Expenses]], ACOAETME2022[[#All],[Insurance Category Code]],1, ACOAETME2022[[#All],[ACO/AE or Insurer Overall Organization ID]],Q89),2))</f>
        <v>TRUE</v>
      </c>
      <c r="AA89" s="6" t="str">
        <f>IF(V89=ROUND(SUMIFS(ACOAETME2022[[#All],[TOTAL Truncated Unadjusted Claims Expenses (A19 - A17)]], ACOAETME2022[[#All],[Insurance Category Code]],1, ACOAETME2022[[#All],[ACO/AE or Insurer Overall Organization ID]],Q89),2), "TRUE", ROUND(V89-SUMIFS(ACOAETME2022[[#All],[TOTAL Truncated Unadjusted Claims Expenses (A19 - A17)]], ACOAETME2022[[#All],[Insurance Category Code]],1, ACOAETME2022[[#All],[ACO/AE or Insurer Overall Organization ID]],Q89),2))</f>
        <v>TRUE</v>
      </c>
      <c r="AB89" s="6" t="str">
        <f t="shared" si="10"/>
        <v>TRUE</v>
      </c>
      <c r="AC89" s="6" t="b">
        <f>ROUND(SUMIFS(ACOAETME2022[[#All],[TOTAL Non-Truncated Unadjusted Claims Expenses]], ACOAETME2022[[#All],[Insurance Category Code]],1, ACOAETME2022[[#All],[ACO/AE or Insurer Overall Organization ID]],Q89), 2)&gt;=ROUND(SUMIFS(ACOAETME2022[[#All],[TOTAL Truncated Unadjusted Claims Expenses (A19 - A17)]], ACOAETME2022[[#All],[Insurance Category Code]],1, ACOAETME2022[[#All],[ACO/AE or Insurer Overall Organization ID]],Q89),2)</f>
        <v>1</v>
      </c>
      <c r="AD89" s="6" t="b">
        <f>ROUND(SUMIFS(ACOAETME2022[[#All],[TOTAL Truncated Unadjusted Claims Expenses (A19 - A17)]], ACOAETME2022[[#All],[Insurance Category Code]],1, ACOAETME2022[[#All],[ACO/AE or Insurer Overall Organization ID]],Q89)+SUMIFS(ACOAETME2022[[#All],[Total Claims Excluded because of Truncation]], ACOAETME2022[[#All],[Insurance Category Code]],1, ACOAETME2022[[#All],[ACO/AE or Insurer Overall Organization ID]],Q89),2)=ROUND(SUMIFS(ACOAETME2022[[#All],[TOTAL Non-Truncated Unadjusted Claims Expenses]], ACOAETME2022[[#All],[Insurance Category Code]],1, ACOAETME2022[[#All],[ACO/AE or Insurer Overall Organization ID]],Q89), 2)</f>
        <v>1</v>
      </c>
      <c r="AG89" s="454" t="str">
        <f t="shared" si="11"/>
        <v>NA</v>
      </c>
    </row>
    <row r="90" spans="2:33" x14ac:dyDescent="0.35">
      <c r="B90" s="7">
        <v>999</v>
      </c>
      <c r="C90" s="194">
        <f>ROUND(SUMIFS(AgeSex21[[#All],[Total Member Months by Age/Sex Band]], AgeSex21[[#All],[ACO/AE ID or Insurer Overall]], $B90, AgeSex21[[#All], [Insurance Category Code]],1), 2)</f>
        <v>0</v>
      </c>
      <c r="D90" s="452">
        <f>ROUND(SUMIFS(AgeSex21[[#All],[Total Dollars Excluded from Spending After Applying Truncation at the Member Level]], AgeSex21[[#All],[ACO/AE ID or Insurer Overall]], $B90, AgeSex21[[#All], [Insurance Category Code]],1), 2)</f>
        <v>0</v>
      </c>
      <c r="E90" s="6">
        <f>ROUND(SUMIFS(AgeSex21[[#All],[Count of Members Whose Spending was Truncated]], AgeSex21[[#All],[ACO/AE ID or Insurer Overall]], $B90, AgeSex21[[#All], [Insurance Category Code]],1), 2)</f>
        <v>0</v>
      </c>
      <c r="F90" s="452">
        <f>ROUND(SUMIFS(AgeSex21[[#All],[Total Spending before Truncation is Applied]], AgeSex21[[#All],[ACO/AE ID or Insurer Overall]], $B90, AgeSex21[[#All], [Insurance Category Code]],1), 2)</f>
        <v>0</v>
      </c>
      <c r="G90" s="452">
        <f>ROUND(SUMIFS(AgeSex21[[#All],[Total Spending After Applying Truncation at the Member Level]], AgeSex21[[#All],[ACO/AE ID or Insurer Overall]], $B90, AgeSex21[[#All], [Insurance Category Code]],1), 2)</f>
        <v>0</v>
      </c>
      <c r="H90" s="6" t="str">
        <f>IF(C90=ROUND(SUMIFS(ACOAETME2021[[#All],[Member Months]], ACOAETME2021[[#All],[Insurance Category Code]],1, ACOAETME2021[[#All],[ACO/AE or Insurer Overall Organization ID]],B90),2), "TRUE", ROUND(C90-SUMIFS(ACOAETME2021[[#All],[Member Months]], ACOAETME2021[[#All],[Insurance Category Code]],1, ACOAETME2021[[#All],[ACO/AE or Insurer Overall Organization ID]],B90),2))</f>
        <v>TRUE</v>
      </c>
      <c r="I90" s="6" t="str">
        <f>IF(D90=ROUND(SUMIFS(ACOAETME2021[[#All],[Total Claims Excluded because of Truncation]], ACOAETME2021[[#All],[Insurance Category Code]],1, ACOAETME2021[[#All],[ACO/AE or Insurer Overall Organization ID]],B90),2), "TRUE", ROUND(D90-SUMIFS(ACOAETME2021[[#All],[Total Claims Excluded because of Truncation]], ACOAETME2021[[#All],[Insurance Category Code]],1, ACOAETME2021[[#All],[ACO/AE or Insurer Overall Organization ID]],B90),2))</f>
        <v>TRUE</v>
      </c>
      <c r="J90" s="6" t="str">
        <f>IF(E90=ROUND(SUMIFS(ACOAETME2021[[#All],[Count of Members with Claims Truncated]], ACOAETME2021[[#All],[Insurance Category Code]],1, ACOAETME2021[[#All],[ACO/AE or Insurer Overall Organization ID]],B90),2), "TRUE", ROUND(E90-SUMIFS(ACOAETME2021[[#All],[Count of Members with Claims Truncated]], ACOAETME2021[[#All],[Insurance Category Code]],1, ACOAETME2021[[#All],[ACO/AE or Insurer Overall Organization ID]],B90),2))</f>
        <v>TRUE</v>
      </c>
      <c r="K90" s="6" t="str">
        <f>IF(F90=ROUND(SUMIFS(ACOAETME2021[[#All],[TOTAL Non-Truncated Unadjusted Claims Expenses]], ACOAETME2021[[#All],[Insurance Category Code]],1, ACOAETME2021[[#All],[ACO/AE or Insurer Overall Organization ID]],B90),2), "TRUE", ROUND(F90-SUMIFS(ACOAETME2021[[#All],[TOTAL Non-Truncated Unadjusted Claims Expenses]], ACOAETME2021[[#All],[Insurance Category Code]],1, ACOAETME2021[[#All],[ACO/AE or Insurer Overall Organization ID]],B90),2))</f>
        <v>TRUE</v>
      </c>
      <c r="L90" s="6" t="str">
        <f>IF(G90=ROUND(SUMIFS(ACOAETME2021[[#All],[TOTAL Truncated Unadjusted Claims Expenses (A19 - A17)]], ACOAETME2021[[#All],[Insurance Category Code]],1, ACOAETME2021[[#All],[ACO/AE or Insurer Overall Organization ID]],B90),2), "TRUE", ROUND(G90-SUMIFS(ACOAETME2021[[#All],[TOTAL Truncated Unadjusted Claims Expenses (A19 - A17)]], ACOAETME2021[[#All],[Insurance Category Code]],1, ACOAETME2021[[#All],[ACO/AE or Insurer Overall Organization ID]],B90),2))</f>
        <v>TRUE</v>
      </c>
      <c r="M90" s="6" t="str">
        <f t="shared" ref="M90" si="12">IF(E90=0, "TRUE",IF((C90/12)&gt;E90,"TRUE",(C90/12)-E90))</f>
        <v>TRUE</v>
      </c>
      <c r="N90" s="6" t="b">
        <f>ROUND(SUMIFS(ACOAETME2021[[#All],[TOTAL Non-Truncated Unadjusted Claims Expenses]], ACOAETME2021[[#All],[Insurance Category Code]],1, ACOAETME2021[[#All],[ACO/AE or Insurer Overall Organization ID]],B90), 2)&gt;=ROUND(SUMIFS(ACOAETME2021[[#All],[TOTAL Truncated Unadjusted Claims Expenses (A19 - A17)]], ACOAETME2021[[#All],[Insurance Category Code]],1, ACOAETME2021[[#All],[ACO/AE or Insurer Overall Organization ID]],B90),2)</f>
        <v>1</v>
      </c>
      <c r="O90" s="6" t="b">
        <f>ROUND(SUMIFS(ACOAETME2021[[#All],[TOTAL Truncated Unadjusted Claims Expenses (A19 - A17)]], ACOAETME2021[[#All],[Insurance Category Code]],1, ACOAETME2021[[#All],[ACO/AE or Insurer Overall Organization ID]],B90)+SUMIFS(ACOAETME2021[[#All],[Total Claims Excluded because of Truncation]], ACOAETME2021[[#All],[Insurance Category Code]],1, ACOAETME2021[[#All],[ACO/AE or Insurer Overall Organization ID]],B90),2)=ROUND(SUMIFS(ACOAETME2021[[#All],[TOTAL Non-Truncated Unadjusted Claims Expenses]], ACOAETME2021[[#All],[Insurance Category Code]],1, ACOAETME2021[[#All],[ACO/AE or Insurer Overall Organization ID]],B90), 2)</f>
        <v>1</v>
      </c>
      <c r="Q90" s="115">
        <v>999</v>
      </c>
      <c r="R90" s="194">
        <f>ROUND(SUMIFS(AgeSex22[[#All],[Total Member Months by Age/Sex Band]], AgeSex22[[#All],[ACO/AE ID or Insurer Overall]], $B90, AgeSex22[[#All], [Insurance Category Code]],1), 2)</f>
        <v>0</v>
      </c>
      <c r="S90" s="452">
        <f>ROUND(SUMIFS(AgeSex22[[#All],[Total Dollars Excluded from Spending After Applying Truncation at the Member Level]], AgeSex22[[#All],[ACO/AE ID or Insurer Overall]], $B90, AgeSex22[[#All], [Insurance Category Code]],1), 2)</f>
        <v>0</v>
      </c>
      <c r="T90" s="6">
        <f>ROUND(SUMIFS(AgeSex22[[#All],[Count of Members Whose Spending was Truncated]], AgeSex22[[#All],[ACO/AE ID or Insurer Overall]], $B90, AgeSex22[[#All], [Insurance Category Code]],1), 2)</f>
        <v>0</v>
      </c>
      <c r="U90" s="452">
        <f>ROUND(SUMIFS(AgeSex22[[#All],[Total Spending before Truncation is Applied]], AgeSex22[[#All],[ACO/AE ID or Insurer Overall]], $B90, AgeSex22[[#All], [Insurance Category Code]],1), 2)</f>
        <v>0</v>
      </c>
      <c r="V90" s="452">
        <f>ROUND(SUMIFS(AgeSex22[[#All],[Total Spending After Applying Truncation at the Member Level]], AgeSex22[[#All],[ACO/AE ID or Insurer Overall]], $B90, AgeSex22[[#All], [Insurance Category Code]],1), 2)</f>
        <v>0</v>
      </c>
      <c r="W90" s="457" t="str">
        <f>IF(R90=ROUND(SUMIFS(ACOAETME2022[[#All],[Member Months]], ACOAETME2022[[#All],[Insurance Category Code]],1, ACOAETME2022[[#All],[ACO/AE or Insurer Overall Organization ID]],Q90),2), "TRUE", ROUND(R90-SUMIFS(ACOAETME2022[[#All],[Member Months]], ACOAETME2022[[#All],[Insurance Category Code]],1, ACOAETME2022[[#All],[ACO/AE or Insurer Overall Organization ID]],Q90),2))</f>
        <v>TRUE</v>
      </c>
      <c r="X90" s="6" t="str">
        <f>IF(S90=ROUND(SUMIFS(ACOAETME2022[[#All],[Total Claims Excluded because of Truncation]], ACOAETME2022[[#All],[Insurance Category Code]],1, ACOAETME2022[[#All],[ACO/AE or Insurer Overall Organization ID]],Q90),2), "TRUE", ROUND(S90-SUMIFS(ACOAETME2022[[#All],[Total Claims Excluded because of Truncation]], ACOAETME2022[[#All],[Insurance Category Code]],1, ACOAETME2022[[#All],[ACO/AE or Insurer Overall Organization ID]],Q90),2))</f>
        <v>TRUE</v>
      </c>
      <c r="Y90" s="6" t="str">
        <f>IF(T90=ROUND(SUMIFS(ACOAETME2022[[#All],[Count of Members with Claims Truncated]], ACOAETME2022[[#All],[Insurance Category Code]],1, ACOAETME2022[[#All],[ACO/AE or Insurer Overall Organization ID]],Q90),2), "TRUE", ROUND(T90-SUMIFS(ACOAETME2022[[#All],[Count of Members with Claims Truncated]], ACOAETME2022[[#All],[Insurance Category Code]],1, ACOAETME2022[[#All],[ACO/AE or Insurer Overall Organization ID]],Q90),2))</f>
        <v>TRUE</v>
      </c>
      <c r="Z90" s="6" t="str">
        <f>IF(U90=ROUND(SUMIFS(ACOAETME2022[[#All],[TOTAL Non-Truncated Unadjusted Claims Expenses]], ACOAETME2022[[#All],[Insurance Category Code]],1, ACOAETME2022[[#All],[ACO/AE or Insurer Overall Organization ID]],Q90),2), "TRUE", ROUND(U90-SUMIFS(ACOAETME2022[[#All],[TOTAL Non-Truncated Unadjusted Claims Expenses]], ACOAETME2022[[#All],[Insurance Category Code]],1, ACOAETME2022[[#All],[ACO/AE or Insurer Overall Organization ID]],Q90),2))</f>
        <v>TRUE</v>
      </c>
      <c r="AA90" s="6" t="str">
        <f>IF(V90=ROUND(SUMIFS(ACOAETME2022[[#All],[TOTAL Truncated Unadjusted Claims Expenses (A19 - A17)]], ACOAETME2022[[#All],[Insurance Category Code]],1, ACOAETME2022[[#All],[ACO/AE or Insurer Overall Organization ID]],Q90),2), "TRUE", ROUND(V90-SUMIFS(ACOAETME2022[[#All],[TOTAL Truncated Unadjusted Claims Expenses (A19 - A17)]], ACOAETME2022[[#All],[Insurance Category Code]],1, ACOAETME2022[[#All],[ACO/AE or Insurer Overall Organization ID]],Q90),2))</f>
        <v>TRUE</v>
      </c>
      <c r="AB90" s="6" t="str">
        <f t="shared" ref="AB90" si="13">IF(T90=0, "TRUE",IF((R90/12)&gt;T90,"TRUE",(R90/12)-T90))</f>
        <v>TRUE</v>
      </c>
      <c r="AC90" s="6" t="b">
        <f>ROUND(SUMIFS(ACOAETME2022[[#All],[TOTAL Non-Truncated Unadjusted Claims Expenses]], ACOAETME2022[[#All],[Insurance Category Code]],1, ACOAETME2022[[#All],[ACO/AE or Insurer Overall Organization ID]],Q90), 2)&gt;=ROUND(SUMIFS(ACOAETME2022[[#All],[TOTAL Truncated Unadjusted Claims Expenses (A19 - A17)]], ACOAETME2022[[#All],[Insurance Category Code]],1, ACOAETME2022[[#All],[ACO/AE or Insurer Overall Organization ID]],Q90),2)</f>
        <v>1</v>
      </c>
      <c r="AD90" s="6" t="b">
        <f>ROUND(SUMIFS(ACOAETME2022[[#All],[TOTAL Truncated Unadjusted Claims Expenses (A19 - A17)]], ACOAETME2022[[#All],[Insurance Category Code]],1, ACOAETME2022[[#All],[ACO/AE or Insurer Overall Organization ID]],Q90)+SUMIFS(ACOAETME2022[[#All],[Total Claims Excluded because of Truncation]], ACOAETME2022[[#All],[Insurance Category Code]],1, ACOAETME2022[[#All],[ACO/AE or Insurer Overall Organization ID]],Q90),2)=ROUND(SUMIFS(ACOAETME2022[[#All],[TOTAL Non-Truncated Unadjusted Claims Expenses]], ACOAETME2022[[#All],[Insurance Category Code]],1, ACOAETME2022[[#All],[ACO/AE or Insurer Overall Organization ID]],Q90), 2)</f>
        <v>1</v>
      </c>
      <c r="AG90" s="454" t="str">
        <f t="shared" si="11"/>
        <v>NA</v>
      </c>
    </row>
    <row r="91" spans="2:33" ht="15" thickBot="1" x14ac:dyDescent="0.4">
      <c r="B91" s="15"/>
      <c r="C91" s="12"/>
    </row>
    <row r="92" spans="2:33" ht="24" thickBot="1" x14ac:dyDescent="0.6">
      <c r="B92" s="433" t="s">
        <v>707</v>
      </c>
      <c r="C92" s="594" t="s">
        <v>696</v>
      </c>
      <c r="D92" s="595"/>
      <c r="E92" s="595"/>
      <c r="F92" s="595"/>
      <c r="G92" s="596"/>
      <c r="H92" s="597" t="s">
        <v>697</v>
      </c>
      <c r="I92" s="598"/>
      <c r="J92" s="598"/>
      <c r="K92" s="598"/>
      <c r="L92" s="599"/>
      <c r="M92" s="591" t="s">
        <v>698</v>
      </c>
      <c r="N92" s="592"/>
      <c r="O92" s="593"/>
      <c r="R92" s="594" t="s">
        <v>711</v>
      </c>
      <c r="S92" s="595"/>
      <c r="T92" s="595"/>
      <c r="U92" s="595"/>
      <c r="V92" s="596"/>
      <c r="W92" s="597" t="s">
        <v>712</v>
      </c>
      <c r="X92" s="598"/>
      <c r="Y92" s="598"/>
      <c r="Z92" s="598"/>
      <c r="AA92" s="599"/>
      <c r="AB92" s="591" t="s">
        <v>698</v>
      </c>
      <c r="AC92" s="592"/>
      <c r="AD92" s="593"/>
    </row>
    <row r="93" spans="2:33" ht="87" x14ac:dyDescent="0.35">
      <c r="B93" s="434" t="s">
        <v>695</v>
      </c>
      <c r="C93" s="432" t="s">
        <v>228</v>
      </c>
      <c r="D93" s="424" t="s">
        <v>195</v>
      </c>
      <c r="E93" s="424" t="s">
        <v>699</v>
      </c>
      <c r="F93" s="424" t="s">
        <v>244</v>
      </c>
      <c r="G93" s="425" t="s">
        <v>194</v>
      </c>
      <c r="H93" s="426" t="s">
        <v>87</v>
      </c>
      <c r="I93" s="427" t="s">
        <v>700</v>
      </c>
      <c r="J93" s="427" t="s">
        <v>701</v>
      </c>
      <c r="K93" s="427" t="s">
        <v>702</v>
      </c>
      <c r="L93" s="428" t="s">
        <v>703</v>
      </c>
      <c r="M93" s="429" t="s">
        <v>704</v>
      </c>
      <c r="N93" s="430" t="s">
        <v>705</v>
      </c>
      <c r="O93" s="431" t="s">
        <v>706</v>
      </c>
      <c r="Q93" s="434" t="s">
        <v>695</v>
      </c>
      <c r="R93" s="432" t="s">
        <v>228</v>
      </c>
      <c r="S93" s="424" t="s">
        <v>195</v>
      </c>
      <c r="T93" s="424" t="s">
        <v>699</v>
      </c>
      <c r="U93" s="424" t="s">
        <v>244</v>
      </c>
      <c r="V93" s="425" t="s">
        <v>194</v>
      </c>
      <c r="W93" s="426" t="s">
        <v>87</v>
      </c>
      <c r="X93" s="427" t="s">
        <v>700</v>
      </c>
      <c r="Y93" s="427" t="s">
        <v>701</v>
      </c>
      <c r="Z93" s="427" t="s">
        <v>702</v>
      </c>
      <c r="AA93" s="428" t="s">
        <v>703</v>
      </c>
      <c r="AB93" s="429" t="s">
        <v>704</v>
      </c>
      <c r="AC93" s="430" t="s">
        <v>705</v>
      </c>
      <c r="AD93" s="431" t="s">
        <v>706</v>
      </c>
      <c r="AG93" s="484" t="s">
        <v>749</v>
      </c>
    </row>
    <row r="94" spans="2:33" x14ac:dyDescent="0.35">
      <c r="B94" s="115">
        <v>100</v>
      </c>
      <c r="C94" s="192">
        <f>ROUND(SUMIFS(AgeSex21[[#All],[Total Member Months by Age/Sex Band]], AgeSex21[[#All],[ACO/AE ID or Insurer Overall]], $B94, AgeSex21[[#All], [Insurance Category Code]],2), 2)</f>
        <v>0</v>
      </c>
      <c r="D94" s="452">
        <f>ROUND(SUMIFS(AgeSex21[[#All],[Total Dollars Excluded from Spending After Applying Truncation at the Member Level]], AgeSex21[[#All],[ACO/AE ID or Insurer Overall]], $B94, AgeSex21[[#All], [Insurance Category Code]],2), 2)</f>
        <v>0</v>
      </c>
      <c r="E94" s="6">
        <f>ROUND(SUMIFS(AgeSex21[[#All],[Count of Members Whose Spending was Truncated]], AgeSex21[[#All],[ACO/AE ID or Insurer Overall]], $B94, AgeSex21[[#All], [Insurance Category Code]],2), 2)</f>
        <v>0</v>
      </c>
      <c r="F94" s="452">
        <f>ROUND(SUMIFS(AgeSex21[[#All],[Total Spending before Truncation is Applied]], AgeSex21[[#All],[ACO/AE ID or Insurer Overall]], $B94, AgeSex21[[#All], [Insurance Category Code]],2), 2)</f>
        <v>0</v>
      </c>
      <c r="G94" s="452">
        <f>ROUND(SUMIFS(AgeSex21[[#All],[Total Spending After Applying Truncation at the Member Level]], AgeSex21[[#All],[ACO/AE ID or Insurer Overall]], $B94, AgeSex21[[#All], [Insurance Category Code]],2), 2)</f>
        <v>0</v>
      </c>
      <c r="H94" s="6" t="str">
        <f>IF(C94=ROUND(SUMIFS(ACOAETME2021[[#All],[Member Months]], ACOAETME2021[[#All],[Insurance Category Code]],2, ACOAETME2021[[#All],[ACO/AE or Insurer Overall Organization ID]],B94),2), "TRUE", ROUND(C94-SUMIFS(ACOAETME2021[[#All],[Member Months]], ACOAETME2021[[#All],[Insurance Category Code]],2, ACOAETME2021[[#All],[ACO/AE or Insurer Overall Organization ID]],B94),2))</f>
        <v>TRUE</v>
      </c>
      <c r="I94" s="6" t="str">
        <f>IF(D94=ROUND(SUMIFS(ACOAETME2021[[#All],[Total Claims Excluded because of Truncation]], ACOAETME2021[[#All],[Insurance Category Code]],2, ACOAETME2021[[#All],[ACO/AE or Insurer Overall Organization ID]],B94),2), "TRUE", ROUND(D94-SUMIFS(ACOAETME2021[[#All],[Total Claims Excluded because of Truncation]], ACOAETME2021[[#All],[Insurance Category Code]],2, ACOAETME2021[[#All],[ACO/AE or Insurer Overall Organization ID]],B94),2))</f>
        <v>TRUE</v>
      </c>
      <c r="J94" s="6" t="str">
        <f>IF(E94=ROUND(SUMIFS(ACOAETME2021[[#All],[Count of Members with Claims Truncated]], ACOAETME2021[[#All],[Insurance Category Code]],2, ACOAETME2021[[#All],[ACO/AE or Insurer Overall Organization ID]],B94),2), "TRUE", ROUND(E94-SUMIFS(ACOAETME2021[[#All],[Count of Members with Claims Truncated]], ACOAETME2021[[#All],[Insurance Category Code]],2, ACOAETME2021[[#All],[ACO/AE or Insurer Overall Organization ID]],B94),2))</f>
        <v>TRUE</v>
      </c>
      <c r="K94" s="535" t="str">
        <f>IF(F94=ROUND(SUMIFS(ACOAETME2021[[#All],[TOTAL Non-Truncated Unadjusted Claims Expenses]], ACOAETME2021[[#All],[Insurance Category Code]],2, ACOAETME2021[[#All],[ACO/AE or Insurer Overall Organization ID]],B94),2), "TRUE", ROUND(F94-SUMIFS(ACOAETME2021[[#All],[TOTAL Non-Truncated Unadjusted Claims Expenses]], ACOAETME2021[[#All],[Insurance Category Code]],2, ACOAETME2021[[#All],[ACO/AE or Insurer Overall Organization ID]],B94),2))</f>
        <v>TRUE</v>
      </c>
      <c r="L94" s="535" t="str">
        <f>IF(G94=ROUND(SUMIFS(ACOAETME2021[[#All],[TOTAL Truncated Unadjusted Claims Expenses (A19 - A17)]], ACOAETME2021[[#All],[Insurance Category Code]],2, ACOAETME2021[[#All],[ACO/AE or Insurer Overall Organization ID]],B94),2), "TRUE", ROUND(G94-SUMIFS(ACOAETME2021[[#All],[TOTAL Truncated Unadjusted Claims Expenses (A19 - A17)]], ACOAETME2021[[#All],[Insurance Category Code]],2, ACOAETME2021[[#All],[ACO/AE or Insurer Overall Organization ID]],B94),2))</f>
        <v>TRUE</v>
      </c>
      <c r="M94" s="6" t="str">
        <f t="shared" ref="M94" si="14">IF(E94=0, "TRUE",IF((C94/12)&gt;E94,"TRUE",(C94/12)-E94))</f>
        <v>TRUE</v>
      </c>
      <c r="N94" s="6" t="b">
        <f>ROUND(SUMIFS(ACOAETME2021[[#All],[TOTAL Non-Truncated Unadjusted Claims Expenses]], ACOAETME2021[[#All],[Insurance Category Code]],2, ACOAETME2021[[#All],[ACO/AE or Insurer Overall Organization ID]],B94), 2)&gt;=ROUND(SUMIFS(ACOAETME2021[[#All],[TOTAL Truncated Unadjusted Claims Expenses (A19 - A17)]], ACOAETME2021[[#All],[Insurance Category Code]],2, ACOAETME2021[[#All],[ACO/AE or Insurer Overall Organization ID]],B94),2)</f>
        <v>1</v>
      </c>
      <c r="O94" s="6" t="b">
        <f>ROUND(SUMIFS(ACOAETME2021[[#All],[TOTAL Truncated Unadjusted Claims Expenses (A19 - A17)]], ACOAETME2021[[#All],[Insurance Category Code]],2, ACOAETME2021[[#All],[ACO/AE or Insurer Overall Organization ID]],B94)+SUMIFS(ACOAETME2021[[#All],[Total Claims Excluded because of Truncation]], ACOAETME2021[[#All],[Insurance Category Code]],2, ACOAETME2021[[#All],[ACO/AE or Insurer Overall Organization ID]],B94),2)=ROUND(SUMIFS(ACOAETME2021[[#All],[TOTAL Non-Truncated Unadjusted Claims Expenses]], ACOAETME2021[[#All],[Insurance Category Code]],2, ACOAETME2021[[#All],[ACO/AE or Insurer Overall Organization ID]],B94), 2)</f>
        <v>1</v>
      </c>
      <c r="Q94" s="115">
        <v>100</v>
      </c>
      <c r="R94" s="194">
        <f>ROUND(SUMIFS(AgeSex22[[#All],[Total Member Months by Age/Sex Band]], AgeSex22[[#All],[ACO/AE ID or Insurer Overall]], $B94, AgeSex22[[#All], [Insurance Category Code]],2), 2)</f>
        <v>0</v>
      </c>
      <c r="S94" s="452">
        <f>ROUND(SUMIFS(AgeSex22[[#All],[Total Dollars Excluded from Spending After Applying Truncation at the Member Level]], AgeSex22[[#All],[ACO/AE ID or Insurer Overall]], $B94, AgeSex22[[#All], [Insurance Category Code]],2), 2)</f>
        <v>0</v>
      </c>
      <c r="T94" s="6">
        <f>ROUND(SUMIFS(AgeSex22[[#All],[Count of Members Whose Spending was Truncated]], AgeSex22[[#All],[ACO/AE ID or Insurer Overall]], $B94, AgeSex22[[#All], [Insurance Category Code]],2), 2)</f>
        <v>0</v>
      </c>
      <c r="U94" s="452">
        <f>ROUND(SUMIFS(AgeSex22[[#All],[Total Spending before Truncation is Applied]], AgeSex22[[#All],[ACO/AE ID or Insurer Overall]], $B94, AgeSex22[[#All], [Insurance Category Code]],2), 2)</f>
        <v>0</v>
      </c>
      <c r="V94" s="452">
        <f>ROUND(SUMIFS(AgeSex22[[#All],[Total Spending After Applying Truncation at the Member Level]], AgeSex22[[#All],[ACO/AE ID or Insurer Overall]], $B94, AgeSex22[[#All], [Insurance Category Code]],2), 2)</f>
        <v>0</v>
      </c>
      <c r="W94" s="457" t="str">
        <f>IF(R94=ROUND(SUMIFS(ACOAETME2022[[#All],[Member Months]], ACOAETME2022[[#All],[Insurance Category Code]],2, ACOAETME2022[[#All],[ACO/AE or Insurer Overall Organization ID]],Q94),2), "TRUE", ROUND(R94-SUMIFS(ACOAETME2022[[#All],[Member Months]], ACOAETME2022[[#All],[Insurance Category Code]],2, ACOAETME2022[[#All],[ACO/AE or Insurer Overall Organization ID]],Q94),2))</f>
        <v>TRUE</v>
      </c>
      <c r="X94" s="6" t="str">
        <f>IF(S94=ROUND(SUMIFS(ACOAETME2022[[#All],[Total Claims Excluded because of Truncation]], ACOAETME2022[[#All],[Insurance Category Code]],2, ACOAETME2022[[#All],[ACO/AE or Insurer Overall Organization ID]],Q94),2), "TRUE", ROUND(S94-SUMIFS(ACOAETME2022[[#All],[Total Claims Excluded because of Truncation]], ACOAETME2022[[#All],[Insurance Category Code]],2, ACOAETME2022[[#All],[ACO/AE or Insurer Overall Organization ID]],Q94),2))</f>
        <v>TRUE</v>
      </c>
      <c r="Y94" s="6" t="str">
        <f>IF(T94=ROUND(SUMIFS(ACOAETME2022[[#All],[Count of Members with Claims Truncated]], ACOAETME2022[[#All],[Insurance Category Code]],2, ACOAETME2022[[#All],[ACO/AE or Insurer Overall Organization ID]],Q94),2), "TRUE", ROUND(T94-SUMIFS(ACOAETME2022[[#All],[Count of Members with Claims Truncated]], ACOAETME2022[[#All],[Insurance Category Code]],2, ACOAETME2022[[#All],[ACO/AE or Insurer Overall Organization ID]],Q94),2))</f>
        <v>TRUE</v>
      </c>
      <c r="Z94" s="535" t="str">
        <f>IF(U94=ROUND(SUMIFS(ACOAETME2022[[#All],[TOTAL Non-Truncated Unadjusted Claims Expenses]], ACOAETME2022[[#All],[Insurance Category Code]],2, ACOAETME2022[[#All],[ACO/AE or Insurer Overall Organization ID]],Q94),2), "TRUE", ROUND(U94-SUMIFS(ACOAETME2022[[#All],[TOTAL Non-Truncated Unadjusted Claims Expenses]], ACOAETME2022[[#All],[Insurance Category Code]],2, ACOAETME2022[[#All],[ACO/AE or Insurer Overall Organization ID]],Q94),2))</f>
        <v>TRUE</v>
      </c>
      <c r="AA94" s="535" t="str">
        <f>IF(V94=ROUND(SUMIFS(ACOAETME2022[[#All],[TOTAL Truncated Unadjusted Claims Expenses (A19 - A17)]], ACOAETME2022[[#All],[Insurance Category Code]],2, ACOAETME2022[[#All],[ACO/AE or Insurer Overall Organization ID]],Q94),2), "TRUE", ROUND(V94-SUMIFS(ACOAETME2022[[#All],[TOTAL Truncated Unadjusted Claims Expenses (A19 - A17)]], ACOAETME2022[[#All],[Insurance Category Code]],2, ACOAETME2022[[#All],[ACO/AE or Insurer Overall Organization ID]],Q94),2))</f>
        <v>TRUE</v>
      </c>
      <c r="AB94" s="6" t="str">
        <f t="shared" ref="AB94:AB103" si="15">IF(T94=0, "TRUE",IF((R94/12)&gt;T94,"TRUE",(R94/12)-T94))</f>
        <v>TRUE</v>
      </c>
      <c r="AC94" s="6" t="b">
        <f>ROUND(SUMIFS(ACOAETME2022[[#All],[TOTAL Non-Truncated Unadjusted Claims Expenses]], ACOAETME2022[[#All],[Insurance Category Code]],2, ACOAETME2022[[#All],[ACO/AE or Insurer Overall Organization ID]],Q94), 2)&gt;=ROUND(SUMIFS(ACOAETME2022[[#All],[TOTAL Truncated Unadjusted Claims Expenses (A19 - A17)]], ACOAETME2022[[#All],[Insurance Category Code]],2, ACOAETME2022[[#All],[ACO/AE or Insurer Overall Organization ID]],Q94),2)</f>
        <v>1</v>
      </c>
      <c r="AD94" s="6" t="b">
        <f>ROUND(SUMIFS(ACOAETME2022[[#All],[TOTAL Truncated Unadjusted Claims Expenses (A19 - A17)]], ACOAETME2022[[#All],[Insurance Category Code]],2, ACOAETME2022[[#All],[ACO/AE or Insurer Overall Organization ID]],Q94)+SUMIFS(ACOAETME2022[[#All],[Total Claims Excluded because of Truncation]], ACOAETME2022[[#All],[Insurance Category Code]],2, ACOAETME2022[[#All],[ACO/AE or Insurer Overall Organization ID]],Q94),2)=ROUND(SUMIFS(ACOAETME2022[[#All],[TOTAL Non-Truncated Unadjusted Claims Expenses]], ACOAETME2022[[#All],[Insurance Category Code]],2, ACOAETME2022[[#All],[ACO/AE or Insurer Overall Organization ID]],Q94), 2)</f>
        <v>1</v>
      </c>
      <c r="AG94" s="454" t="str">
        <f t="shared" ref="AG94:AG103" si="16">IFERROR(R94/C94-1, "NA")</f>
        <v>NA</v>
      </c>
    </row>
    <row r="95" spans="2:33" x14ac:dyDescent="0.35">
      <c r="B95" s="115">
        <v>101</v>
      </c>
      <c r="C95" s="192">
        <f>ROUND(SUMIFS(AgeSex21[[#All],[Total Member Months by Age/Sex Band]], AgeSex21[[#All],[ACO/AE ID or Insurer Overall]], $B95, AgeSex21[[#All], [Insurance Category Code]],2), 2)</f>
        <v>0</v>
      </c>
      <c r="D95" s="452">
        <f>ROUND(SUMIFS(AgeSex21[[#All],[Total Dollars Excluded from Spending After Applying Truncation at the Member Level]], AgeSex21[[#All],[ACO/AE ID or Insurer Overall]], $B95, AgeSex21[[#All], [Insurance Category Code]],2), 2)</f>
        <v>0</v>
      </c>
      <c r="E95" s="6">
        <f>ROUND(SUMIFS(AgeSex21[[#All],[Count of Members Whose Spending was Truncated]], AgeSex21[[#All],[ACO/AE ID or Insurer Overall]], $B95, AgeSex21[[#All], [Insurance Category Code]],2), 2)</f>
        <v>0</v>
      </c>
      <c r="F95" s="452">
        <f>ROUND(SUMIFS(AgeSex21[[#All],[Total Spending before Truncation is Applied]], AgeSex21[[#All],[ACO/AE ID or Insurer Overall]], $B95, AgeSex21[[#All], [Insurance Category Code]],2), 2)</f>
        <v>0</v>
      </c>
      <c r="G95" s="452">
        <f>ROUND(SUMIFS(AgeSex21[[#All],[Total Spending After Applying Truncation at the Member Level]], AgeSex21[[#All],[ACO/AE ID or Insurer Overall]], $B95, AgeSex21[[#All], [Insurance Category Code]],2), 2)</f>
        <v>0</v>
      </c>
      <c r="H95" s="6" t="str">
        <f>IF(C95=ROUND(SUMIFS(ACOAETME2021[[#All],[Member Months]], ACOAETME2021[[#All],[Insurance Category Code]],2, ACOAETME2021[[#All],[ACO/AE or Insurer Overall Organization ID]],B95),2), "TRUE", ROUND(C95-SUMIFS(ACOAETME2021[[#All],[Member Months]], ACOAETME2021[[#All],[Insurance Category Code]],2, ACOAETME2021[[#All],[ACO/AE or Insurer Overall Organization ID]],B95),2))</f>
        <v>TRUE</v>
      </c>
      <c r="I95" s="6" t="str">
        <f>IF(D95=ROUND(SUMIFS(ACOAETME2021[[#All],[Total Claims Excluded because of Truncation]], ACOAETME2021[[#All],[Insurance Category Code]],2, ACOAETME2021[[#All],[ACO/AE or Insurer Overall Organization ID]],B95),2), "TRUE", ROUND(D95-SUMIFS(ACOAETME2021[[#All],[Total Claims Excluded because of Truncation]], ACOAETME2021[[#All],[Insurance Category Code]],2, ACOAETME2021[[#All],[ACO/AE or Insurer Overall Organization ID]],B95),2))</f>
        <v>TRUE</v>
      </c>
      <c r="J95" s="6" t="str">
        <f>IF(E95=ROUND(SUMIFS(ACOAETME2021[[#All],[Count of Members with Claims Truncated]], ACOAETME2021[[#All],[Insurance Category Code]],2, ACOAETME2021[[#All],[ACO/AE or Insurer Overall Organization ID]],B95),2), "TRUE", ROUND(E95-SUMIFS(ACOAETME2021[[#All],[Count of Members with Claims Truncated]], ACOAETME2021[[#All],[Insurance Category Code]],2, ACOAETME2021[[#All],[ACO/AE or Insurer Overall Organization ID]],B95),2))</f>
        <v>TRUE</v>
      </c>
      <c r="K95" s="535" t="str">
        <f>IF(F95=ROUND(SUMIFS(ACOAETME2021[[#All],[TOTAL Non-Truncated Unadjusted Claims Expenses]], ACOAETME2021[[#All],[Insurance Category Code]],2, ACOAETME2021[[#All],[ACO/AE or Insurer Overall Organization ID]],B95),2), "TRUE", ROUND(F95-SUMIFS(ACOAETME2021[[#All],[TOTAL Non-Truncated Unadjusted Claims Expenses]], ACOAETME2021[[#All],[Insurance Category Code]],2, ACOAETME2021[[#All],[ACO/AE or Insurer Overall Organization ID]],B95),2))</f>
        <v>TRUE</v>
      </c>
      <c r="L95" s="535" t="str">
        <f>IF(G95=ROUND(SUMIFS(ACOAETME2021[[#All],[TOTAL Truncated Unadjusted Claims Expenses (A19 - A17)]], ACOAETME2021[[#All],[Insurance Category Code]],2, ACOAETME2021[[#All],[ACO/AE or Insurer Overall Organization ID]],B95),2), "TRUE", ROUND(G95-SUMIFS(ACOAETME2021[[#All],[TOTAL Truncated Unadjusted Claims Expenses (A19 - A17)]], ACOAETME2021[[#All],[Insurance Category Code]],2, ACOAETME2021[[#All],[ACO/AE or Insurer Overall Organization ID]],B95),2))</f>
        <v>TRUE</v>
      </c>
      <c r="M95" s="6" t="str">
        <f t="shared" ref="M95:M102" si="17">IF(E95=0, "TRUE",IF((C95/12)&gt;E95,"TRUE",(C95/12)-E95))</f>
        <v>TRUE</v>
      </c>
      <c r="N95" s="6" t="b">
        <f>ROUND(SUMIFS(ACOAETME2021[[#All],[TOTAL Non-Truncated Unadjusted Claims Expenses]], ACOAETME2021[[#All],[Insurance Category Code]],2, ACOAETME2021[[#All],[ACO/AE or Insurer Overall Organization ID]],B95), 2)&gt;=ROUND(SUMIFS(ACOAETME2021[[#All],[TOTAL Truncated Unadjusted Claims Expenses (A19 - A17)]], ACOAETME2021[[#All],[Insurance Category Code]],2, ACOAETME2021[[#All],[ACO/AE or Insurer Overall Organization ID]],B95),2)</f>
        <v>1</v>
      </c>
      <c r="O95" s="6" t="b">
        <f>ROUND(SUMIFS(ACOAETME2021[[#All],[TOTAL Truncated Unadjusted Claims Expenses (A19 - A17)]], ACOAETME2021[[#All],[Insurance Category Code]],2, ACOAETME2021[[#All],[ACO/AE or Insurer Overall Organization ID]],B95)+SUMIFS(ACOAETME2021[[#All],[Total Claims Excluded because of Truncation]], ACOAETME2021[[#All],[Insurance Category Code]],2, ACOAETME2021[[#All],[ACO/AE or Insurer Overall Organization ID]],B95),2)=ROUND(SUMIFS(ACOAETME2021[[#All],[TOTAL Non-Truncated Unadjusted Claims Expenses]], ACOAETME2021[[#All],[Insurance Category Code]],2, ACOAETME2021[[#All],[ACO/AE or Insurer Overall Organization ID]],B95), 2)</f>
        <v>1</v>
      </c>
      <c r="Q95" s="115">
        <v>101</v>
      </c>
      <c r="R95" s="194">
        <f>ROUND(SUMIFS(AgeSex22[[#All],[Total Member Months by Age/Sex Band]], AgeSex22[[#All],[ACO/AE ID or Insurer Overall]], $B95, AgeSex22[[#All], [Insurance Category Code]],2), 2)</f>
        <v>0</v>
      </c>
      <c r="S95" s="452">
        <f>ROUND(SUMIFS(AgeSex22[[#All],[Total Dollars Excluded from Spending After Applying Truncation at the Member Level]], AgeSex22[[#All],[ACO/AE ID or Insurer Overall]], $B95, AgeSex22[[#All], [Insurance Category Code]],2), 2)</f>
        <v>0</v>
      </c>
      <c r="T95" s="6">
        <f>ROUND(SUMIFS(AgeSex22[[#All],[Count of Members Whose Spending was Truncated]], AgeSex22[[#All],[ACO/AE ID or Insurer Overall]], $B95, AgeSex22[[#All], [Insurance Category Code]],2), 2)</f>
        <v>0</v>
      </c>
      <c r="U95" s="452">
        <f>ROUND(SUMIFS(AgeSex22[[#All],[Total Spending before Truncation is Applied]], AgeSex22[[#All],[ACO/AE ID or Insurer Overall]], $B95, AgeSex22[[#All], [Insurance Category Code]],2), 2)</f>
        <v>0</v>
      </c>
      <c r="V95" s="452">
        <f>ROUND(SUMIFS(AgeSex22[[#All],[Total Spending After Applying Truncation at the Member Level]], AgeSex22[[#All],[ACO/AE ID or Insurer Overall]], $B95, AgeSex22[[#All], [Insurance Category Code]],2), 2)</f>
        <v>0</v>
      </c>
      <c r="W95" s="457" t="str">
        <f>IF(R95=ROUND(SUMIFS(ACOAETME2022[[#All],[Member Months]], ACOAETME2022[[#All],[Insurance Category Code]],2, ACOAETME2022[[#All],[ACO/AE or Insurer Overall Organization ID]],Q95),2), "TRUE", ROUND(R95-SUMIFS(ACOAETME2022[[#All],[Member Months]], ACOAETME2022[[#All],[Insurance Category Code]],2, ACOAETME2022[[#All],[ACO/AE or Insurer Overall Organization ID]],Q95),2))</f>
        <v>TRUE</v>
      </c>
      <c r="X95" s="6" t="str">
        <f>IF(S95=ROUND(SUMIFS(ACOAETME2022[[#All],[Total Claims Excluded because of Truncation]], ACOAETME2022[[#All],[Insurance Category Code]],2, ACOAETME2022[[#All],[ACO/AE or Insurer Overall Organization ID]],Q95),2), "TRUE", ROUND(S95-SUMIFS(ACOAETME2022[[#All],[Total Claims Excluded because of Truncation]], ACOAETME2022[[#All],[Insurance Category Code]],2, ACOAETME2022[[#All],[ACO/AE or Insurer Overall Organization ID]],Q95),2))</f>
        <v>TRUE</v>
      </c>
      <c r="Y95" s="6" t="str">
        <f>IF(T95=ROUND(SUMIFS(ACOAETME2022[[#All],[Count of Members with Claims Truncated]], ACOAETME2022[[#All],[Insurance Category Code]],2, ACOAETME2022[[#All],[ACO/AE or Insurer Overall Organization ID]],Q95),2), "TRUE", ROUND(T95-SUMIFS(ACOAETME2022[[#All],[Count of Members with Claims Truncated]], ACOAETME2022[[#All],[Insurance Category Code]],2, ACOAETME2022[[#All],[ACO/AE or Insurer Overall Organization ID]],Q95),2))</f>
        <v>TRUE</v>
      </c>
      <c r="Z95" s="535" t="str">
        <f>IF(U95=ROUND(SUMIFS(ACOAETME2022[[#All],[TOTAL Non-Truncated Unadjusted Claims Expenses]], ACOAETME2022[[#All],[Insurance Category Code]],2, ACOAETME2022[[#All],[ACO/AE or Insurer Overall Organization ID]],Q95),2), "TRUE", ROUND(U95-SUMIFS(ACOAETME2022[[#All],[TOTAL Non-Truncated Unadjusted Claims Expenses]], ACOAETME2022[[#All],[Insurance Category Code]],2, ACOAETME2022[[#All],[ACO/AE or Insurer Overall Organization ID]],Q95),2))</f>
        <v>TRUE</v>
      </c>
      <c r="AA95" s="535" t="str">
        <f>IF(V95=ROUND(SUMIFS(ACOAETME2022[[#All],[TOTAL Truncated Unadjusted Claims Expenses (A19 - A17)]], ACOAETME2022[[#All],[Insurance Category Code]],2, ACOAETME2022[[#All],[ACO/AE or Insurer Overall Organization ID]],Q95),2), "TRUE", ROUND(V95-SUMIFS(ACOAETME2022[[#All],[TOTAL Truncated Unadjusted Claims Expenses (A19 - A17)]], ACOAETME2022[[#All],[Insurance Category Code]],2, ACOAETME2022[[#All],[ACO/AE or Insurer Overall Organization ID]],Q95),2))</f>
        <v>TRUE</v>
      </c>
      <c r="AB95" s="6" t="str">
        <f t="shared" si="15"/>
        <v>TRUE</v>
      </c>
      <c r="AC95" s="6" t="b">
        <f>ROUND(SUMIFS(ACOAETME2022[[#All],[TOTAL Non-Truncated Unadjusted Claims Expenses]], ACOAETME2022[[#All],[Insurance Category Code]],2, ACOAETME2022[[#All],[ACO/AE or Insurer Overall Organization ID]],Q95), 2)&gt;=ROUND(SUMIFS(ACOAETME2022[[#All],[TOTAL Truncated Unadjusted Claims Expenses (A19 - A17)]], ACOAETME2022[[#All],[Insurance Category Code]],2, ACOAETME2022[[#All],[ACO/AE or Insurer Overall Organization ID]],Q95),2)</f>
        <v>1</v>
      </c>
      <c r="AD95" s="6" t="b">
        <f>ROUND(SUMIFS(ACOAETME2022[[#All],[TOTAL Truncated Unadjusted Claims Expenses (A19 - A17)]], ACOAETME2022[[#All],[Insurance Category Code]],2, ACOAETME2022[[#All],[ACO/AE or Insurer Overall Organization ID]],Q95)+SUMIFS(ACOAETME2022[[#All],[Total Claims Excluded because of Truncation]], ACOAETME2022[[#All],[Insurance Category Code]],2, ACOAETME2022[[#All],[ACO/AE or Insurer Overall Organization ID]],Q95),2)=ROUND(SUMIFS(ACOAETME2022[[#All],[TOTAL Non-Truncated Unadjusted Claims Expenses]], ACOAETME2022[[#All],[Insurance Category Code]],2, ACOAETME2022[[#All],[ACO/AE or Insurer Overall Organization ID]],Q95), 2)</f>
        <v>1</v>
      </c>
      <c r="AG95" s="454" t="str">
        <f t="shared" si="16"/>
        <v>NA</v>
      </c>
    </row>
    <row r="96" spans="2:33" x14ac:dyDescent="0.35">
      <c r="B96" s="115">
        <v>102</v>
      </c>
      <c r="C96" s="192">
        <f>ROUND(SUMIFS(AgeSex21[[#All],[Total Member Months by Age/Sex Band]], AgeSex21[[#All],[ACO/AE ID or Insurer Overall]], $B96, AgeSex21[[#All], [Insurance Category Code]],2), 2)</f>
        <v>0</v>
      </c>
      <c r="D96" s="452">
        <f>ROUND(SUMIFS(AgeSex21[[#All],[Total Dollars Excluded from Spending After Applying Truncation at the Member Level]], AgeSex21[[#All],[ACO/AE ID or Insurer Overall]], $B96, AgeSex21[[#All], [Insurance Category Code]],2), 2)</f>
        <v>0</v>
      </c>
      <c r="E96" s="6">
        <f>ROUND(SUMIFS(AgeSex21[[#All],[Count of Members Whose Spending was Truncated]], AgeSex21[[#All],[ACO/AE ID or Insurer Overall]], $B96, AgeSex21[[#All], [Insurance Category Code]],2), 2)</f>
        <v>0</v>
      </c>
      <c r="F96" s="452">
        <f>ROUND(SUMIFS(AgeSex21[[#All],[Total Spending before Truncation is Applied]], AgeSex21[[#All],[ACO/AE ID or Insurer Overall]], $B96, AgeSex21[[#All], [Insurance Category Code]],2), 2)</f>
        <v>0</v>
      </c>
      <c r="G96" s="452">
        <f>ROUND(SUMIFS(AgeSex21[[#All],[Total Spending After Applying Truncation at the Member Level]], AgeSex21[[#All],[ACO/AE ID or Insurer Overall]], $B96, AgeSex21[[#All], [Insurance Category Code]],2), 2)</f>
        <v>0</v>
      </c>
      <c r="H96" s="6" t="str">
        <f>IF(C96=ROUND(SUMIFS(ACOAETME2021[[#All],[Member Months]], ACOAETME2021[[#All],[Insurance Category Code]],2, ACOAETME2021[[#All],[ACO/AE or Insurer Overall Organization ID]],B96),2), "TRUE", ROUND(C96-SUMIFS(ACOAETME2021[[#All],[Member Months]], ACOAETME2021[[#All],[Insurance Category Code]],2, ACOAETME2021[[#All],[ACO/AE or Insurer Overall Organization ID]],B96),2))</f>
        <v>TRUE</v>
      </c>
      <c r="I96" s="6" t="str">
        <f>IF(D96=ROUND(SUMIFS(ACOAETME2021[[#All],[Total Claims Excluded because of Truncation]], ACOAETME2021[[#All],[Insurance Category Code]],2, ACOAETME2021[[#All],[ACO/AE or Insurer Overall Organization ID]],B96),2), "TRUE", ROUND(D96-SUMIFS(ACOAETME2021[[#All],[Total Claims Excluded because of Truncation]], ACOAETME2021[[#All],[Insurance Category Code]],2, ACOAETME2021[[#All],[ACO/AE or Insurer Overall Organization ID]],B96),2))</f>
        <v>TRUE</v>
      </c>
      <c r="J96" s="6" t="str">
        <f>IF(E96=ROUND(SUMIFS(ACOAETME2021[[#All],[Count of Members with Claims Truncated]], ACOAETME2021[[#All],[Insurance Category Code]],2, ACOAETME2021[[#All],[ACO/AE or Insurer Overall Organization ID]],B96),2), "TRUE", ROUND(E96-SUMIFS(ACOAETME2021[[#All],[Count of Members with Claims Truncated]], ACOAETME2021[[#All],[Insurance Category Code]],2, ACOAETME2021[[#All],[ACO/AE or Insurer Overall Organization ID]],B96),2))</f>
        <v>TRUE</v>
      </c>
      <c r="K96" s="535" t="str">
        <f>IF(F96=ROUND(SUMIFS(ACOAETME2021[[#All],[TOTAL Non-Truncated Unadjusted Claims Expenses]], ACOAETME2021[[#All],[Insurance Category Code]],2, ACOAETME2021[[#All],[ACO/AE or Insurer Overall Organization ID]],B96),2), "TRUE", ROUND(F96-SUMIFS(ACOAETME2021[[#All],[TOTAL Non-Truncated Unadjusted Claims Expenses]], ACOAETME2021[[#All],[Insurance Category Code]],2, ACOAETME2021[[#All],[ACO/AE or Insurer Overall Organization ID]],B96),2))</f>
        <v>TRUE</v>
      </c>
      <c r="L96" s="535" t="str">
        <f>IF(G96=ROUND(SUMIFS(ACOAETME2021[[#All],[TOTAL Truncated Unadjusted Claims Expenses (A19 - A17)]], ACOAETME2021[[#All],[Insurance Category Code]],2, ACOAETME2021[[#All],[ACO/AE or Insurer Overall Organization ID]],B96),2), "TRUE", ROUND(G96-SUMIFS(ACOAETME2021[[#All],[TOTAL Truncated Unadjusted Claims Expenses (A19 - A17)]], ACOAETME2021[[#All],[Insurance Category Code]],2, ACOAETME2021[[#All],[ACO/AE or Insurer Overall Organization ID]],B96),2))</f>
        <v>TRUE</v>
      </c>
      <c r="M96" s="6" t="str">
        <f t="shared" si="17"/>
        <v>TRUE</v>
      </c>
      <c r="N96" s="6" t="b">
        <f>ROUND(SUMIFS(ACOAETME2021[[#All],[TOTAL Non-Truncated Unadjusted Claims Expenses]], ACOAETME2021[[#All],[Insurance Category Code]],2, ACOAETME2021[[#All],[ACO/AE or Insurer Overall Organization ID]],B96), 2)&gt;=ROUND(SUMIFS(ACOAETME2021[[#All],[TOTAL Truncated Unadjusted Claims Expenses (A19 - A17)]], ACOAETME2021[[#All],[Insurance Category Code]],2, ACOAETME2021[[#All],[ACO/AE or Insurer Overall Organization ID]],B96),2)</f>
        <v>1</v>
      </c>
      <c r="O96" s="6" t="b">
        <f>ROUND(SUMIFS(ACOAETME2021[[#All],[TOTAL Truncated Unadjusted Claims Expenses (A19 - A17)]], ACOAETME2021[[#All],[Insurance Category Code]],2, ACOAETME2021[[#All],[ACO/AE or Insurer Overall Organization ID]],B96)+SUMIFS(ACOAETME2021[[#All],[Total Claims Excluded because of Truncation]], ACOAETME2021[[#All],[Insurance Category Code]],2, ACOAETME2021[[#All],[ACO/AE or Insurer Overall Organization ID]],B96),2)=ROUND(SUMIFS(ACOAETME2021[[#All],[TOTAL Non-Truncated Unadjusted Claims Expenses]], ACOAETME2021[[#All],[Insurance Category Code]],2, ACOAETME2021[[#All],[ACO/AE or Insurer Overall Organization ID]],B96), 2)</f>
        <v>1</v>
      </c>
      <c r="Q96" s="115">
        <v>102</v>
      </c>
      <c r="R96" s="194">
        <f>ROUND(SUMIFS(AgeSex22[[#All],[Total Member Months by Age/Sex Band]], AgeSex22[[#All],[ACO/AE ID or Insurer Overall]], $B96, AgeSex22[[#All], [Insurance Category Code]],2), 2)</f>
        <v>0</v>
      </c>
      <c r="S96" s="452">
        <f>ROUND(SUMIFS(AgeSex22[[#All],[Total Dollars Excluded from Spending After Applying Truncation at the Member Level]], AgeSex22[[#All],[ACO/AE ID or Insurer Overall]], $B96, AgeSex22[[#All], [Insurance Category Code]],2), 2)</f>
        <v>0</v>
      </c>
      <c r="T96" s="6">
        <f>ROUND(SUMIFS(AgeSex22[[#All],[Count of Members Whose Spending was Truncated]], AgeSex22[[#All],[ACO/AE ID or Insurer Overall]], $B96, AgeSex22[[#All], [Insurance Category Code]],2), 2)</f>
        <v>0</v>
      </c>
      <c r="U96" s="452">
        <f>ROUND(SUMIFS(AgeSex22[[#All],[Total Spending before Truncation is Applied]], AgeSex22[[#All],[ACO/AE ID or Insurer Overall]], $B96, AgeSex22[[#All], [Insurance Category Code]],2), 2)</f>
        <v>0</v>
      </c>
      <c r="V96" s="452">
        <f>ROUND(SUMIFS(AgeSex22[[#All],[Total Spending After Applying Truncation at the Member Level]], AgeSex22[[#All],[ACO/AE ID or Insurer Overall]], $B96, AgeSex22[[#All], [Insurance Category Code]],2), 2)</f>
        <v>0</v>
      </c>
      <c r="W96" s="457" t="str">
        <f>IF(R96=ROUND(SUMIFS(ACOAETME2022[[#All],[Member Months]], ACOAETME2022[[#All],[Insurance Category Code]],2, ACOAETME2022[[#All],[ACO/AE or Insurer Overall Organization ID]],Q96),2), "TRUE", ROUND(R96-SUMIFS(ACOAETME2022[[#All],[Member Months]], ACOAETME2022[[#All],[Insurance Category Code]],2, ACOAETME2022[[#All],[ACO/AE or Insurer Overall Organization ID]],Q96),2))</f>
        <v>TRUE</v>
      </c>
      <c r="X96" s="6" t="str">
        <f>IF(S96=ROUND(SUMIFS(ACOAETME2022[[#All],[Total Claims Excluded because of Truncation]], ACOAETME2022[[#All],[Insurance Category Code]],2, ACOAETME2022[[#All],[ACO/AE or Insurer Overall Organization ID]],Q96),2), "TRUE", ROUND(S96-SUMIFS(ACOAETME2022[[#All],[Total Claims Excluded because of Truncation]], ACOAETME2022[[#All],[Insurance Category Code]],2, ACOAETME2022[[#All],[ACO/AE or Insurer Overall Organization ID]],Q96),2))</f>
        <v>TRUE</v>
      </c>
      <c r="Y96" s="6" t="str">
        <f>IF(T96=ROUND(SUMIFS(ACOAETME2022[[#All],[Count of Members with Claims Truncated]], ACOAETME2022[[#All],[Insurance Category Code]],2, ACOAETME2022[[#All],[ACO/AE or Insurer Overall Organization ID]],Q96),2), "TRUE", ROUND(T96-SUMIFS(ACOAETME2022[[#All],[Count of Members with Claims Truncated]], ACOAETME2022[[#All],[Insurance Category Code]],2, ACOAETME2022[[#All],[ACO/AE or Insurer Overall Organization ID]],Q96),2))</f>
        <v>TRUE</v>
      </c>
      <c r="Z96" s="535" t="str">
        <f>IF(U96=ROUND(SUMIFS(ACOAETME2022[[#All],[TOTAL Non-Truncated Unadjusted Claims Expenses]], ACOAETME2022[[#All],[Insurance Category Code]],2, ACOAETME2022[[#All],[ACO/AE or Insurer Overall Organization ID]],Q96),2), "TRUE", ROUND(U96-SUMIFS(ACOAETME2022[[#All],[TOTAL Non-Truncated Unadjusted Claims Expenses]], ACOAETME2022[[#All],[Insurance Category Code]],2, ACOAETME2022[[#All],[ACO/AE or Insurer Overall Organization ID]],Q96),2))</f>
        <v>TRUE</v>
      </c>
      <c r="AA96" s="535" t="str">
        <f>IF(V96=ROUND(SUMIFS(ACOAETME2022[[#All],[TOTAL Truncated Unadjusted Claims Expenses (A19 - A17)]], ACOAETME2022[[#All],[Insurance Category Code]],2, ACOAETME2022[[#All],[ACO/AE or Insurer Overall Organization ID]],Q96),2), "TRUE", ROUND(V96-SUMIFS(ACOAETME2022[[#All],[TOTAL Truncated Unadjusted Claims Expenses (A19 - A17)]], ACOAETME2022[[#All],[Insurance Category Code]],2, ACOAETME2022[[#All],[ACO/AE or Insurer Overall Organization ID]],Q96),2))</f>
        <v>TRUE</v>
      </c>
      <c r="AB96" s="6" t="str">
        <f t="shared" si="15"/>
        <v>TRUE</v>
      </c>
      <c r="AC96" s="6" t="b">
        <f>ROUND(SUMIFS(ACOAETME2022[[#All],[TOTAL Non-Truncated Unadjusted Claims Expenses]], ACOAETME2022[[#All],[Insurance Category Code]],2, ACOAETME2022[[#All],[ACO/AE or Insurer Overall Organization ID]],Q96), 2)&gt;=ROUND(SUMIFS(ACOAETME2022[[#All],[TOTAL Truncated Unadjusted Claims Expenses (A19 - A17)]], ACOAETME2022[[#All],[Insurance Category Code]],2, ACOAETME2022[[#All],[ACO/AE or Insurer Overall Organization ID]],Q96),2)</f>
        <v>1</v>
      </c>
      <c r="AD96" s="6" t="b">
        <f>ROUND(SUMIFS(ACOAETME2022[[#All],[TOTAL Truncated Unadjusted Claims Expenses (A19 - A17)]], ACOAETME2022[[#All],[Insurance Category Code]],2, ACOAETME2022[[#All],[ACO/AE or Insurer Overall Organization ID]],Q96)+SUMIFS(ACOAETME2022[[#All],[Total Claims Excluded because of Truncation]], ACOAETME2022[[#All],[Insurance Category Code]],2, ACOAETME2022[[#All],[ACO/AE or Insurer Overall Organization ID]],Q96),2)=ROUND(SUMIFS(ACOAETME2022[[#All],[TOTAL Non-Truncated Unadjusted Claims Expenses]], ACOAETME2022[[#All],[Insurance Category Code]],2, ACOAETME2022[[#All],[ACO/AE or Insurer Overall Organization ID]],Q96), 2)</f>
        <v>1</v>
      </c>
      <c r="AG96" s="454" t="str">
        <f t="shared" si="16"/>
        <v>NA</v>
      </c>
    </row>
    <row r="97" spans="2:33" x14ac:dyDescent="0.35">
      <c r="B97" s="115">
        <v>103</v>
      </c>
      <c r="C97" s="192">
        <f>ROUND(SUMIFS(AgeSex21[[#All],[Total Member Months by Age/Sex Band]], AgeSex21[[#All],[ACO/AE ID or Insurer Overall]], $B97, AgeSex21[[#All], [Insurance Category Code]],2), 2)</f>
        <v>0</v>
      </c>
      <c r="D97" s="452">
        <f>ROUND(SUMIFS(AgeSex21[[#All],[Total Dollars Excluded from Spending After Applying Truncation at the Member Level]], AgeSex21[[#All],[ACO/AE ID or Insurer Overall]], $B97, AgeSex21[[#All], [Insurance Category Code]],2), 2)</f>
        <v>0</v>
      </c>
      <c r="E97" s="6">
        <f>ROUND(SUMIFS(AgeSex21[[#All],[Count of Members Whose Spending was Truncated]], AgeSex21[[#All],[ACO/AE ID or Insurer Overall]], $B97, AgeSex21[[#All], [Insurance Category Code]],2), 2)</f>
        <v>0</v>
      </c>
      <c r="F97" s="452">
        <f>ROUND(SUMIFS(AgeSex21[[#All],[Total Spending before Truncation is Applied]], AgeSex21[[#All],[ACO/AE ID or Insurer Overall]], $B97, AgeSex21[[#All], [Insurance Category Code]],2), 2)</f>
        <v>0</v>
      </c>
      <c r="G97" s="452">
        <f>ROUND(SUMIFS(AgeSex21[[#All],[Total Spending After Applying Truncation at the Member Level]], AgeSex21[[#All],[ACO/AE ID or Insurer Overall]], $B97, AgeSex21[[#All], [Insurance Category Code]],2), 2)</f>
        <v>0</v>
      </c>
      <c r="H97" s="6" t="str">
        <f>IF(C97=ROUND(SUMIFS(ACOAETME2021[[#All],[Member Months]], ACOAETME2021[[#All],[Insurance Category Code]],2, ACOAETME2021[[#All],[ACO/AE or Insurer Overall Organization ID]],B97),2), "TRUE", ROUND(C97-SUMIFS(ACOAETME2021[[#All],[Member Months]], ACOAETME2021[[#All],[Insurance Category Code]],2, ACOAETME2021[[#All],[ACO/AE or Insurer Overall Organization ID]],B97),2))</f>
        <v>TRUE</v>
      </c>
      <c r="I97" s="6" t="str">
        <f>IF(D97=ROUND(SUMIFS(ACOAETME2021[[#All],[Total Claims Excluded because of Truncation]], ACOAETME2021[[#All],[Insurance Category Code]],2, ACOAETME2021[[#All],[ACO/AE or Insurer Overall Organization ID]],B97),2), "TRUE", ROUND(D97-SUMIFS(ACOAETME2021[[#All],[Total Claims Excluded because of Truncation]], ACOAETME2021[[#All],[Insurance Category Code]],2, ACOAETME2021[[#All],[ACO/AE or Insurer Overall Organization ID]],B97),2))</f>
        <v>TRUE</v>
      </c>
      <c r="J97" s="6" t="str">
        <f>IF(E97=ROUND(SUMIFS(ACOAETME2021[[#All],[Count of Members with Claims Truncated]], ACOAETME2021[[#All],[Insurance Category Code]],2, ACOAETME2021[[#All],[ACO/AE or Insurer Overall Organization ID]],B97),2), "TRUE", ROUND(E97-SUMIFS(ACOAETME2021[[#All],[Count of Members with Claims Truncated]], ACOAETME2021[[#All],[Insurance Category Code]],2, ACOAETME2021[[#All],[ACO/AE or Insurer Overall Organization ID]],B97),2))</f>
        <v>TRUE</v>
      </c>
      <c r="K97" s="535" t="str">
        <f>IF(F97=ROUND(SUMIFS(ACOAETME2021[[#All],[TOTAL Non-Truncated Unadjusted Claims Expenses]], ACOAETME2021[[#All],[Insurance Category Code]],2, ACOAETME2021[[#All],[ACO/AE or Insurer Overall Organization ID]],B97),2), "TRUE", ROUND(F97-SUMIFS(ACOAETME2021[[#All],[TOTAL Non-Truncated Unadjusted Claims Expenses]], ACOAETME2021[[#All],[Insurance Category Code]],2, ACOAETME2021[[#All],[ACO/AE or Insurer Overall Organization ID]],B97),2))</f>
        <v>TRUE</v>
      </c>
      <c r="L97" s="535" t="str">
        <f>IF(G97=ROUND(SUMIFS(ACOAETME2021[[#All],[TOTAL Truncated Unadjusted Claims Expenses (A19 - A17)]], ACOAETME2021[[#All],[Insurance Category Code]],2, ACOAETME2021[[#All],[ACO/AE or Insurer Overall Organization ID]],B97),2), "TRUE", ROUND(G97-SUMIFS(ACOAETME2021[[#All],[TOTAL Truncated Unadjusted Claims Expenses (A19 - A17)]], ACOAETME2021[[#All],[Insurance Category Code]],2, ACOAETME2021[[#All],[ACO/AE or Insurer Overall Organization ID]],B97),2))</f>
        <v>TRUE</v>
      </c>
      <c r="M97" s="6" t="str">
        <f t="shared" si="17"/>
        <v>TRUE</v>
      </c>
      <c r="N97" s="6" t="b">
        <f>ROUND(SUMIFS(ACOAETME2021[[#All],[TOTAL Non-Truncated Unadjusted Claims Expenses]], ACOAETME2021[[#All],[Insurance Category Code]],2, ACOAETME2021[[#All],[ACO/AE or Insurer Overall Organization ID]],B97), 2)&gt;=ROUND(SUMIFS(ACOAETME2021[[#All],[TOTAL Truncated Unadjusted Claims Expenses (A19 - A17)]], ACOAETME2021[[#All],[Insurance Category Code]],2, ACOAETME2021[[#All],[ACO/AE or Insurer Overall Organization ID]],B97),2)</f>
        <v>1</v>
      </c>
      <c r="O97" s="6" t="b">
        <f>ROUND(SUMIFS(ACOAETME2021[[#All],[TOTAL Truncated Unadjusted Claims Expenses (A19 - A17)]], ACOAETME2021[[#All],[Insurance Category Code]],2, ACOAETME2021[[#All],[ACO/AE or Insurer Overall Organization ID]],B97)+SUMIFS(ACOAETME2021[[#All],[Total Claims Excluded because of Truncation]], ACOAETME2021[[#All],[Insurance Category Code]],2, ACOAETME2021[[#All],[ACO/AE or Insurer Overall Organization ID]],B97),2)=ROUND(SUMIFS(ACOAETME2021[[#All],[TOTAL Non-Truncated Unadjusted Claims Expenses]], ACOAETME2021[[#All],[Insurance Category Code]],2, ACOAETME2021[[#All],[ACO/AE or Insurer Overall Organization ID]],B97), 2)</f>
        <v>1</v>
      </c>
      <c r="Q97" s="115">
        <v>103</v>
      </c>
      <c r="R97" s="194">
        <f>ROUND(SUMIFS(AgeSex22[[#All],[Total Member Months by Age/Sex Band]], AgeSex22[[#All],[ACO/AE ID or Insurer Overall]], $B97, AgeSex22[[#All], [Insurance Category Code]],2), 2)</f>
        <v>0</v>
      </c>
      <c r="S97" s="452">
        <f>ROUND(SUMIFS(AgeSex22[[#All],[Total Dollars Excluded from Spending After Applying Truncation at the Member Level]], AgeSex22[[#All],[ACO/AE ID or Insurer Overall]], $B97, AgeSex22[[#All], [Insurance Category Code]],2), 2)</f>
        <v>0</v>
      </c>
      <c r="T97" s="6">
        <f>ROUND(SUMIFS(AgeSex22[[#All],[Count of Members Whose Spending was Truncated]], AgeSex22[[#All],[ACO/AE ID or Insurer Overall]], $B97, AgeSex22[[#All], [Insurance Category Code]],2), 2)</f>
        <v>0</v>
      </c>
      <c r="U97" s="452">
        <f>ROUND(SUMIFS(AgeSex22[[#All],[Total Spending before Truncation is Applied]], AgeSex22[[#All],[ACO/AE ID or Insurer Overall]], $B97, AgeSex22[[#All], [Insurance Category Code]],2), 2)</f>
        <v>0</v>
      </c>
      <c r="V97" s="452">
        <f>ROUND(SUMIFS(AgeSex22[[#All],[Total Spending After Applying Truncation at the Member Level]], AgeSex22[[#All],[ACO/AE ID or Insurer Overall]], $B97, AgeSex22[[#All], [Insurance Category Code]],2), 2)</f>
        <v>0</v>
      </c>
      <c r="W97" s="457" t="str">
        <f>IF(R97=ROUND(SUMIFS(ACOAETME2022[[#All],[Member Months]], ACOAETME2022[[#All],[Insurance Category Code]],2, ACOAETME2022[[#All],[ACO/AE or Insurer Overall Organization ID]],Q97),2), "TRUE", ROUND(R97-SUMIFS(ACOAETME2022[[#All],[Member Months]], ACOAETME2022[[#All],[Insurance Category Code]],2, ACOAETME2022[[#All],[ACO/AE or Insurer Overall Organization ID]],Q97),2))</f>
        <v>TRUE</v>
      </c>
      <c r="X97" s="6" t="str">
        <f>IF(S97=ROUND(SUMIFS(ACOAETME2022[[#All],[Total Claims Excluded because of Truncation]], ACOAETME2022[[#All],[Insurance Category Code]],2, ACOAETME2022[[#All],[ACO/AE or Insurer Overall Organization ID]],Q97),2), "TRUE", ROUND(S97-SUMIFS(ACOAETME2022[[#All],[Total Claims Excluded because of Truncation]], ACOAETME2022[[#All],[Insurance Category Code]],2, ACOAETME2022[[#All],[ACO/AE or Insurer Overall Organization ID]],Q97),2))</f>
        <v>TRUE</v>
      </c>
      <c r="Y97" s="6" t="str">
        <f>IF(T97=ROUND(SUMIFS(ACOAETME2022[[#All],[Count of Members with Claims Truncated]], ACOAETME2022[[#All],[Insurance Category Code]],2, ACOAETME2022[[#All],[ACO/AE or Insurer Overall Organization ID]],Q97),2), "TRUE", ROUND(T97-SUMIFS(ACOAETME2022[[#All],[Count of Members with Claims Truncated]], ACOAETME2022[[#All],[Insurance Category Code]],2, ACOAETME2022[[#All],[ACO/AE or Insurer Overall Organization ID]],Q97),2))</f>
        <v>TRUE</v>
      </c>
      <c r="Z97" s="535" t="str">
        <f>IF(U97=ROUND(SUMIFS(ACOAETME2022[[#All],[TOTAL Non-Truncated Unadjusted Claims Expenses]], ACOAETME2022[[#All],[Insurance Category Code]],2, ACOAETME2022[[#All],[ACO/AE or Insurer Overall Organization ID]],Q97),2), "TRUE", ROUND(U97-SUMIFS(ACOAETME2022[[#All],[TOTAL Non-Truncated Unadjusted Claims Expenses]], ACOAETME2022[[#All],[Insurance Category Code]],2, ACOAETME2022[[#All],[ACO/AE or Insurer Overall Organization ID]],Q97),2))</f>
        <v>TRUE</v>
      </c>
      <c r="AA97" s="535" t="str">
        <f>IF(V97=ROUND(SUMIFS(ACOAETME2022[[#All],[TOTAL Truncated Unadjusted Claims Expenses (A19 - A17)]], ACOAETME2022[[#All],[Insurance Category Code]],2, ACOAETME2022[[#All],[ACO/AE or Insurer Overall Organization ID]],Q97),2), "TRUE", ROUND(V97-SUMIFS(ACOAETME2022[[#All],[TOTAL Truncated Unadjusted Claims Expenses (A19 - A17)]], ACOAETME2022[[#All],[Insurance Category Code]],2, ACOAETME2022[[#All],[ACO/AE or Insurer Overall Organization ID]],Q97),2))</f>
        <v>TRUE</v>
      </c>
      <c r="AB97" s="6" t="str">
        <f t="shared" si="15"/>
        <v>TRUE</v>
      </c>
      <c r="AC97" s="6" t="b">
        <f>ROUND(SUMIFS(ACOAETME2022[[#All],[TOTAL Non-Truncated Unadjusted Claims Expenses]], ACOAETME2022[[#All],[Insurance Category Code]],2, ACOAETME2022[[#All],[ACO/AE or Insurer Overall Organization ID]],Q97), 2)&gt;=ROUND(SUMIFS(ACOAETME2022[[#All],[TOTAL Truncated Unadjusted Claims Expenses (A19 - A17)]], ACOAETME2022[[#All],[Insurance Category Code]],2, ACOAETME2022[[#All],[ACO/AE or Insurer Overall Organization ID]],Q97),2)</f>
        <v>1</v>
      </c>
      <c r="AD97" s="6" t="b">
        <f>ROUND(SUMIFS(ACOAETME2022[[#All],[TOTAL Truncated Unadjusted Claims Expenses (A19 - A17)]], ACOAETME2022[[#All],[Insurance Category Code]],2, ACOAETME2022[[#All],[ACO/AE or Insurer Overall Organization ID]],Q97)+SUMIFS(ACOAETME2022[[#All],[Total Claims Excluded because of Truncation]], ACOAETME2022[[#All],[Insurance Category Code]],2, ACOAETME2022[[#All],[ACO/AE or Insurer Overall Organization ID]],Q97),2)=ROUND(SUMIFS(ACOAETME2022[[#All],[TOTAL Non-Truncated Unadjusted Claims Expenses]], ACOAETME2022[[#All],[Insurance Category Code]],2, ACOAETME2022[[#All],[ACO/AE or Insurer Overall Organization ID]],Q97), 2)</f>
        <v>1</v>
      </c>
      <c r="AG97" s="454" t="str">
        <f t="shared" si="16"/>
        <v>NA</v>
      </c>
    </row>
    <row r="98" spans="2:33" x14ac:dyDescent="0.35">
      <c r="B98" s="115">
        <v>104</v>
      </c>
      <c r="C98" s="192">
        <f>ROUND(SUMIFS(AgeSex21[[#All],[Total Member Months by Age/Sex Band]], AgeSex21[[#All],[ACO/AE ID or Insurer Overall]], $B98, AgeSex21[[#All], [Insurance Category Code]],2), 2)</f>
        <v>0</v>
      </c>
      <c r="D98" s="452">
        <f>ROUND(SUMIFS(AgeSex21[[#All],[Total Dollars Excluded from Spending After Applying Truncation at the Member Level]], AgeSex21[[#All],[ACO/AE ID or Insurer Overall]], $B98, AgeSex21[[#All], [Insurance Category Code]],2), 2)</f>
        <v>0</v>
      </c>
      <c r="E98" s="6">
        <f>ROUND(SUMIFS(AgeSex21[[#All],[Count of Members Whose Spending was Truncated]], AgeSex21[[#All],[ACO/AE ID or Insurer Overall]], $B98, AgeSex21[[#All], [Insurance Category Code]],2), 2)</f>
        <v>0</v>
      </c>
      <c r="F98" s="452">
        <f>ROUND(SUMIFS(AgeSex21[[#All],[Total Spending before Truncation is Applied]], AgeSex21[[#All],[ACO/AE ID or Insurer Overall]], $B98, AgeSex21[[#All], [Insurance Category Code]],2), 2)</f>
        <v>0</v>
      </c>
      <c r="G98" s="452">
        <f>ROUND(SUMIFS(AgeSex21[[#All],[Total Spending After Applying Truncation at the Member Level]], AgeSex21[[#All],[ACO/AE ID or Insurer Overall]], $B98, AgeSex21[[#All], [Insurance Category Code]],2), 2)</f>
        <v>0</v>
      </c>
      <c r="H98" s="6" t="str">
        <f>IF(C98=ROUND(SUMIFS(ACOAETME2021[[#All],[Member Months]], ACOAETME2021[[#All],[Insurance Category Code]],2, ACOAETME2021[[#All],[ACO/AE or Insurer Overall Organization ID]],B98),2), "TRUE", ROUND(C98-SUMIFS(ACOAETME2021[[#All],[Member Months]], ACOAETME2021[[#All],[Insurance Category Code]],2, ACOAETME2021[[#All],[ACO/AE or Insurer Overall Organization ID]],B98),2))</f>
        <v>TRUE</v>
      </c>
      <c r="I98" s="6" t="str">
        <f>IF(D98=ROUND(SUMIFS(ACOAETME2021[[#All],[Total Claims Excluded because of Truncation]], ACOAETME2021[[#All],[Insurance Category Code]],2, ACOAETME2021[[#All],[ACO/AE or Insurer Overall Organization ID]],B98),2), "TRUE", ROUND(D98-SUMIFS(ACOAETME2021[[#All],[Total Claims Excluded because of Truncation]], ACOAETME2021[[#All],[Insurance Category Code]],2, ACOAETME2021[[#All],[ACO/AE or Insurer Overall Organization ID]],B98),2))</f>
        <v>TRUE</v>
      </c>
      <c r="J98" s="6" t="str">
        <f>IF(E98=ROUND(SUMIFS(ACOAETME2021[[#All],[Count of Members with Claims Truncated]], ACOAETME2021[[#All],[Insurance Category Code]],2, ACOAETME2021[[#All],[ACO/AE or Insurer Overall Organization ID]],B98),2), "TRUE", ROUND(E98-SUMIFS(ACOAETME2021[[#All],[Count of Members with Claims Truncated]], ACOAETME2021[[#All],[Insurance Category Code]],2, ACOAETME2021[[#All],[ACO/AE or Insurer Overall Organization ID]],B98),2))</f>
        <v>TRUE</v>
      </c>
      <c r="K98" s="535" t="str">
        <f>IF(F98=ROUND(SUMIFS(ACOAETME2021[[#All],[TOTAL Non-Truncated Unadjusted Claims Expenses]], ACOAETME2021[[#All],[Insurance Category Code]],2, ACOAETME2021[[#All],[ACO/AE or Insurer Overall Organization ID]],B98),2), "TRUE", ROUND(F98-SUMIFS(ACOAETME2021[[#All],[TOTAL Non-Truncated Unadjusted Claims Expenses]], ACOAETME2021[[#All],[Insurance Category Code]],2, ACOAETME2021[[#All],[ACO/AE or Insurer Overall Organization ID]],B98),2))</f>
        <v>TRUE</v>
      </c>
      <c r="L98" s="535" t="str">
        <f>IF(G98=ROUND(SUMIFS(ACOAETME2021[[#All],[TOTAL Truncated Unadjusted Claims Expenses (A19 - A17)]], ACOAETME2021[[#All],[Insurance Category Code]],2, ACOAETME2021[[#All],[ACO/AE or Insurer Overall Organization ID]],B98),2), "TRUE", ROUND(G98-SUMIFS(ACOAETME2021[[#All],[TOTAL Truncated Unadjusted Claims Expenses (A19 - A17)]], ACOAETME2021[[#All],[Insurance Category Code]],2, ACOAETME2021[[#All],[ACO/AE or Insurer Overall Organization ID]],B98),2))</f>
        <v>TRUE</v>
      </c>
      <c r="M98" s="6" t="str">
        <f t="shared" si="17"/>
        <v>TRUE</v>
      </c>
      <c r="N98" s="6" t="b">
        <f>ROUND(SUMIFS(ACOAETME2021[[#All],[TOTAL Non-Truncated Unadjusted Claims Expenses]], ACOAETME2021[[#All],[Insurance Category Code]],2, ACOAETME2021[[#All],[ACO/AE or Insurer Overall Organization ID]],B98), 2)&gt;=ROUND(SUMIFS(ACOAETME2021[[#All],[TOTAL Truncated Unadjusted Claims Expenses (A19 - A17)]], ACOAETME2021[[#All],[Insurance Category Code]],2, ACOAETME2021[[#All],[ACO/AE or Insurer Overall Organization ID]],B98),2)</f>
        <v>1</v>
      </c>
      <c r="O98" s="6" t="b">
        <f>ROUND(SUMIFS(ACOAETME2021[[#All],[TOTAL Truncated Unadjusted Claims Expenses (A19 - A17)]], ACOAETME2021[[#All],[Insurance Category Code]],2, ACOAETME2021[[#All],[ACO/AE or Insurer Overall Organization ID]],B98)+SUMIFS(ACOAETME2021[[#All],[Total Claims Excluded because of Truncation]], ACOAETME2021[[#All],[Insurance Category Code]],2, ACOAETME2021[[#All],[ACO/AE or Insurer Overall Organization ID]],B98),2)=ROUND(SUMIFS(ACOAETME2021[[#All],[TOTAL Non-Truncated Unadjusted Claims Expenses]], ACOAETME2021[[#All],[Insurance Category Code]],2, ACOAETME2021[[#All],[ACO/AE or Insurer Overall Organization ID]],B98), 2)</f>
        <v>1</v>
      </c>
      <c r="Q98" s="115">
        <v>104</v>
      </c>
      <c r="R98" s="194">
        <f>ROUND(SUMIFS(AgeSex22[[#All],[Total Member Months by Age/Sex Band]], AgeSex22[[#All],[ACO/AE ID or Insurer Overall]], $B98, AgeSex22[[#All], [Insurance Category Code]],2), 2)</f>
        <v>0</v>
      </c>
      <c r="S98" s="452">
        <f>ROUND(SUMIFS(AgeSex22[[#All],[Total Dollars Excluded from Spending After Applying Truncation at the Member Level]], AgeSex22[[#All],[ACO/AE ID or Insurer Overall]], $B98, AgeSex22[[#All], [Insurance Category Code]],2), 2)</f>
        <v>0</v>
      </c>
      <c r="T98" s="6">
        <f>ROUND(SUMIFS(AgeSex22[[#All],[Count of Members Whose Spending was Truncated]], AgeSex22[[#All],[ACO/AE ID or Insurer Overall]], $B98, AgeSex22[[#All], [Insurance Category Code]],2), 2)</f>
        <v>0</v>
      </c>
      <c r="U98" s="452">
        <f>ROUND(SUMIFS(AgeSex22[[#All],[Total Spending before Truncation is Applied]], AgeSex22[[#All],[ACO/AE ID or Insurer Overall]], $B98, AgeSex22[[#All], [Insurance Category Code]],2), 2)</f>
        <v>0</v>
      </c>
      <c r="V98" s="452">
        <f>ROUND(SUMIFS(AgeSex22[[#All],[Total Spending After Applying Truncation at the Member Level]], AgeSex22[[#All],[ACO/AE ID or Insurer Overall]], $B98, AgeSex22[[#All], [Insurance Category Code]],2), 2)</f>
        <v>0</v>
      </c>
      <c r="W98" s="457" t="str">
        <f>IF(R98=ROUND(SUMIFS(ACOAETME2022[[#All],[Member Months]], ACOAETME2022[[#All],[Insurance Category Code]],2, ACOAETME2022[[#All],[ACO/AE or Insurer Overall Organization ID]],Q98),2), "TRUE", ROUND(R98-SUMIFS(ACOAETME2022[[#All],[Member Months]], ACOAETME2022[[#All],[Insurance Category Code]],2, ACOAETME2022[[#All],[ACO/AE or Insurer Overall Organization ID]],Q98),2))</f>
        <v>TRUE</v>
      </c>
      <c r="X98" s="6" t="str">
        <f>IF(S98=ROUND(SUMIFS(ACOAETME2022[[#All],[Total Claims Excluded because of Truncation]], ACOAETME2022[[#All],[Insurance Category Code]],2, ACOAETME2022[[#All],[ACO/AE or Insurer Overall Organization ID]],Q98),2), "TRUE", ROUND(S98-SUMIFS(ACOAETME2022[[#All],[Total Claims Excluded because of Truncation]], ACOAETME2022[[#All],[Insurance Category Code]],2, ACOAETME2022[[#All],[ACO/AE or Insurer Overall Organization ID]],Q98),2))</f>
        <v>TRUE</v>
      </c>
      <c r="Y98" s="6" t="str">
        <f>IF(T98=ROUND(SUMIFS(ACOAETME2022[[#All],[Count of Members with Claims Truncated]], ACOAETME2022[[#All],[Insurance Category Code]],2, ACOAETME2022[[#All],[ACO/AE or Insurer Overall Organization ID]],Q98),2), "TRUE", ROUND(T98-SUMIFS(ACOAETME2022[[#All],[Count of Members with Claims Truncated]], ACOAETME2022[[#All],[Insurance Category Code]],2, ACOAETME2022[[#All],[ACO/AE or Insurer Overall Organization ID]],Q98),2))</f>
        <v>TRUE</v>
      </c>
      <c r="Z98" s="535" t="str">
        <f>IF(U98=ROUND(SUMIFS(ACOAETME2022[[#All],[TOTAL Non-Truncated Unadjusted Claims Expenses]], ACOAETME2022[[#All],[Insurance Category Code]],2, ACOAETME2022[[#All],[ACO/AE or Insurer Overall Organization ID]],Q98),2), "TRUE", ROUND(U98-SUMIFS(ACOAETME2022[[#All],[TOTAL Non-Truncated Unadjusted Claims Expenses]], ACOAETME2022[[#All],[Insurance Category Code]],2, ACOAETME2022[[#All],[ACO/AE or Insurer Overall Organization ID]],Q98),2))</f>
        <v>TRUE</v>
      </c>
      <c r="AA98" s="535" t="str">
        <f>IF(V98=ROUND(SUMIFS(ACOAETME2022[[#All],[TOTAL Truncated Unadjusted Claims Expenses (A19 - A17)]], ACOAETME2022[[#All],[Insurance Category Code]],2, ACOAETME2022[[#All],[ACO/AE or Insurer Overall Organization ID]],Q98),2), "TRUE", ROUND(V98-SUMIFS(ACOAETME2022[[#All],[TOTAL Truncated Unadjusted Claims Expenses (A19 - A17)]], ACOAETME2022[[#All],[Insurance Category Code]],2, ACOAETME2022[[#All],[ACO/AE or Insurer Overall Organization ID]],Q98),2))</f>
        <v>TRUE</v>
      </c>
      <c r="AB98" s="6" t="str">
        <f t="shared" si="15"/>
        <v>TRUE</v>
      </c>
      <c r="AC98" s="6" t="b">
        <f>ROUND(SUMIFS(ACOAETME2022[[#All],[TOTAL Non-Truncated Unadjusted Claims Expenses]], ACOAETME2022[[#All],[Insurance Category Code]],2, ACOAETME2022[[#All],[ACO/AE or Insurer Overall Organization ID]],Q98), 2)&gt;=ROUND(SUMIFS(ACOAETME2022[[#All],[TOTAL Truncated Unadjusted Claims Expenses (A19 - A17)]], ACOAETME2022[[#All],[Insurance Category Code]],2, ACOAETME2022[[#All],[ACO/AE or Insurer Overall Organization ID]],Q98),2)</f>
        <v>1</v>
      </c>
      <c r="AD98" s="6" t="b">
        <f>ROUND(SUMIFS(ACOAETME2022[[#All],[TOTAL Truncated Unadjusted Claims Expenses (A19 - A17)]], ACOAETME2022[[#All],[Insurance Category Code]],2, ACOAETME2022[[#All],[ACO/AE or Insurer Overall Organization ID]],Q98)+SUMIFS(ACOAETME2022[[#All],[Total Claims Excluded because of Truncation]], ACOAETME2022[[#All],[Insurance Category Code]],2, ACOAETME2022[[#All],[ACO/AE or Insurer Overall Organization ID]],Q98),2)=ROUND(SUMIFS(ACOAETME2022[[#All],[TOTAL Non-Truncated Unadjusted Claims Expenses]], ACOAETME2022[[#All],[Insurance Category Code]],2, ACOAETME2022[[#All],[ACO/AE or Insurer Overall Organization ID]],Q98), 2)</f>
        <v>1</v>
      </c>
      <c r="AG98" s="454" t="str">
        <f t="shared" si="16"/>
        <v>NA</v>
      </c>
    </row>
    <row r="99" spans="2:33" x14ac:dyDescent="0.35">
      <c r="B99" s="115">
        <v>105</v>
      </c>
      <c r="C99" s="192">
        <f>ROUND(SUMIFS(AgeSex21[[#All],[Total Member Months by Age/Sex Band]], AgeSex21[[#All],[ACO/AE ID or Insurer Overall]], $B99, AgeSex21[[#All], [Insurance Category Code]],2), 2)</f>
        <v>0</v>
      </c>
      <c r="D99" s="452">
        <f>ROUND(SUMIFS(AgeSex21[[#All],[Total Dollars Excluded from Spending After Applying Truncation at the Member Level]], AgeSex21[[#All],[ACO/AE ID or Insurer Overall]], $B99, AgeSex21[[#All], [Insurance Category Code]],2), 2)</f>
        <v>0</v>
      </c>
      <c r="E99" s="6">
        <f>ROUND(SUMIFS(AgeSex21[[#All],[Count of Members Whose Spending was Truncated]], AgeSex21[[#All],[ACO/AE ID or Insurer Overall]], $B99, AgeSex21[[#All], [Insurance Category Code]],2), 2)</f>
        <v>0</v>
      </c>
      <c r="F99" s="452">
        <f>ROUND(SUMIFS(AgeSex21[[#All],[Total Spending before Truncation is Applied]], AgeSex21[[#All],[ACO/AE ID or Insurer Overall]], $B99, AgeSex21[[#All], [Insurance Category Code]],2), 2)</f>
        <v>0</v>
      </c>
      <c r="G99" s="452">
        <f>ROUND(SUMIFS(AgeSex21[[#All],[Total Spending After Applying Truncation at the Member Level]], AgeSex21[[#All],[ACO/AE ID or Insurer Overall]], $B99, AgeSex21[[#All], [Insurance Category Code]],2), 2)</f>
        <v>0</v>
      </c>
      <c r="H99" s="6" t="str">
        <f>IF(C99=ROUND(SUMIFS(ACOAETME2021[[#All],[Member Months]], ACOAETME2021[[#All],[Insurance Category Code]],2, ACOAETME2021[[#All],[ACO/AE or Insurer Overall Organization ID]],B99),2), "TRUE", ROUND(C99-SUMIFS(ACOAETME2021[[#All],[Member Months]], ACOAETME2021[[#All],[Insurance Category Code]],2, ACOAETME2021[[#All],[ACO/AE or Insurer Overall Organization ID]],B99),2))</f>
        <v>TRUE</v>
      </c>
      <c r="I99" s="6" t="str">
        <f>IF(D99=ROUND(SUMIFS(ACOAETME2021[[#All],[Total Claims Excluded because of Truncation]], ACOAETME2021[[#All],[Insurance Category Code]],2, ACOAETME2021[[#All],[ACO/AE or Insurer Overall Organization ID]],B99),2), "TRUE", ROUND(D99-SUMIFS(ACOAETME2021[[#All],[Total Claims Excluded because of Truncation]], ACOAETME2021[[#All],[Insurance Category Code]],2, ACOAETME2021[[#All],[ACO/AE or Insurer Overall Organization ID]],B99),2))</f>
        <v>TRUE</v>
      </c>
      <c r="J99" s="6" t="str">
        <f>IF(E99=ROUND(SUMIFS(ACOAETME2021[[#All],[Count of Members with Claims Truncated]], ACOAETME2021[[#All],[Insurance Category Code]],2, ACOAETME2021[[#All],[ACO/AE or Insurer Overall Organization ID]],B99),2), "TRUE", ROUND(E99-SUMIFS(ACOAETME2021[[#All],[Count of Members with Claims Truncated]], ACOAETME2021[[#All],[Insurance Category Code]],2, ACOAETME2021[[#All],[ACO/AE or Insurer Overall Organization ID]],B99),2))</f>
        <v>TRUE</v>
      </c>
      <c r="K99" s="535" t="str">
        <f>IF(F99=ROUND(SUMIFS(ACOAETME2021[[#All],[TOTAL Non-Truncated Unadjusted Claims Expenses]], ACOAETME2021[[#All],[Insurance Category Code]],2, ACOAETME2021[[#All],[ACO/AE or Insurer Overall Organization ID]],B99),2), "TRUE", ROUND(F99-SUMIFS(ACOAETME2021[[#All],[TOTAL Non-Truncated Unadjusted Claims Expenses]], ACOAETME2021[[#All],[Insurance Category Code]],2, ACOAETME2021[[#All],[ACO/AE or Insurer Overall Organization ID]],B99),2))</f>
        <v>TRUE</v>
      </c>
      <c r="L99" s="535" t="str">
        <f>IF(G99=ROUND(SUMIFS(ACOAETME2021[[#All],[TOTAL Truncated Unadjusted Claims Expenses (A19 - A17)]], ACOAETME2021[[#All],[Insurance Category Code]],2, ACOAETME2021[[#All],[ACO/AE or Insurer Overall Organization ID]],B99),2), "TRUE", ROUND(G99-SUMIFS(ACOAETME2021[[#All],[TOTAL Truncated Unadjusted Claims Expenses (A19 - A17)]], ACOAETME2021[[#All],[Insurance Category Code]],2, ACOAETME2021[[#All],[ACO/AE or Insurer Overall Organization ID]],B99),2))</f>
        <v>TRUE</v>
      </c>
      <c r="M99" s="6" t="str">
        <f t="shared" si="17"/>
        <v>TRUE</v>
      </c>
      <c r="N99" s="6" t="b">
        <f>ROUND(SUMIFS(ACOAETME2021[[#All],[TOTAL Non-Truncated Unadjusted Claims Expenses]], ACOAETME2021[[#All],[Insurance Category Code]],2, ACOAETME2021[[#All],[ACO/AE or Insurer Overall Organization ID]],B99), 2)&gt;=ROUND(SUMIFS(ACOAETME2021[[#All],[TOTAL Truncated Unadjusted Claims Expenses (A19 - A17)]], ACOAETME2021[[#All],[Insurance Category Code]],2, ACOAETME2021[[#All],[ACO/AE or Insurer Overall Organization ID]],B99),2)</f>
        <v>1</v>
      </c>
      <c r="O99" s="6" t="b">
        <f>ROUND(SUMIFS(ACOAETME2021[[#All],[TOTAL Truncated Unadjusted Claims Expenses (A19 - A17)]], ACOAETME2021[[#All],[Insurance Category Code]],2, ACOAETME2021[[#All],[ACO/AE or Insurer Overall Organization ID]],B99)+SUMIFS(ACOAETME2021[[#All],[Total Claims Excluded because of Truncation]], ACOAETME2021[[#All],[Insurance Category Code]],2, ACOAETME2021[[#All],[ACO/AE or Insurer Overall Organization ID]],B99),2)=ROUND(SUMIFS(ACOAETME2021[[#All],[TOTAL Non-Truncated Unadjusted Claims Expenses]], ACOAETME2021[[#All],[Insurance Category Code]],2, ACOAETME2021[[#All],[ACO/AE or Insurer Overall Organization ID]],B99), 2)</f>
        <v>1</v>
      </c>
      <c r="Q99" s="115">
        <v>105</v>
      </c>
      <c r="R99" s="194">
        <f>ROUND(SUMIFS(AgeSex22[[#All],[Total Member Months by Age/Sex Band]], AgeSex22[[#All],[ACO/AE ID or Insurer Overall]], $B99, AgeSex22[[#All], [Insurance Category Code]],2), 2)</f>
        <v>0</v>
      </c>
      <c r="S99" s="452">
        <f>ROUND(SUMIFS(AgeSex22[[#All],[Total Dollars Excluded from Spending After Applying Truncation at the Member Level]], AgeSex22[[#All],[ACO/AE ID or Insurer Overall]], $B99, AgeSex22[[#All], [Insurance Category Code]],2), 2)</f>
        <v>0</v>
      </c>
      <c r="T99" s="6">
        <f>ROUND(SUMIFS(AgeSex22[[#All],[Count of Members Whose Spending was Truncated]], AgeSex22[[#All],[ACO/AE ID or Insurer Overall]], $B99, AgeSex22[[#All], [Insurance Category Code]],2), 2)</f>
        <v>0</v>
      </c>
      <c r="U99" s="452">
        <f>ROUND(SUMIFS(AgeSex22[[#All],[Total Spending before Truncation is Applied]], AgeSex22[[#All],[ACO/AE ID or Insurer Overall]], $B99, AgeSex22[[#All], [Insurance Category Code]],2), 2)</f>
        <v>0</v>
      </c>
      <c r="V99" s="452">
        <f>ROUND(SUMIFS(AgeSex22[[#All],[Total Spending After Applying Truncation at the Member Level]], AgeSex22[[#All],[ACO/AE ID or Insurer Overall]], $B99, AgeSex22[[#All], [Insurance Category Code]],2), 2)</f>
        <v>0</v>
      </c>
      <c r="W99" s="457" t="str">
        <f>IF(R99=ROUND(SUMIFS(ACOAETME2022[[#All],[Member Months]], ACOAETME2022[[#All],[Insurance Category Code]],2, ACOAETME2022[[#All],[ACO/AE or Insurer Overall Organization ID]],Q99),2), "TRUE", ROUND(R99-SUMIFS(ACOAETME2022[[#All],[Member Months]], ACOAETME2022[[#All],[Insurance Category Code]],2, ACOAETME2022[[#All],[ACO/AE or Insurer Overall Organization ID]],Q99),2))</f>
        <v>TRUE</v>
      </c>
      <c r="X99" s="6" t="str">
        <f>IF(S99=ROUND(SUMIFS(ACOAETME2022[[#All],[Total Claims Excluded because of Truncation]], ACOAETME2022[[#All],[Insurance Category Code]],2, ACOAETME2022[[#All],[ACO/AE or Insurer Overall Organization ID]],Q99),2), "TRUE", ROUND(S99-SUMIFS(ACOAETME2022[[#All],[Total Claims Excluded because of Truncation]], ACOAETME2022[[#All],[Insurance Category Code]],2, ACOAETME2022[[#All],[ACO/AE or Insurer Overall Organization ID]],Q99),2))</f>
        <v>TRUE</v>
      </c>
      <c r="Y99" s="6" t="str">
        <f>IF(T99=ROUND(SUMIFS(ACOAETME2022[[#All],[Count of Members with Claims Truncated]], ACOAETME2022[[#All],[Insurance Category Code]],2, ACOAETME2022[[#All],[ACO/AE or Insurer Overall Organization ID]],Q99),2), "TRUE", ROUND(T99-SUMIFS(ACOAETME2022[[#All],[Count of Members with Claims Truncated]], ACOAETME2022[[#All],[Insurance Category Code]],2, ACOAETME2022[[#All],[ACO/AE or Insurer Overall Organization ID]],Q99),2))</f>
        <v>TRUE</v>
      </c>
      <c r="Z99" s="535" t="str">
        <f>IF(U99=ROUND(SUMIFS(ACOAETME2022[[#All],[TOTAL Non-Truncated Unadjusted Claims Expenses]], ACOAETME2022[[#All],[Insurance Category Code]],2, ACOAETME2022[[#All],[ACO/AE or Insurer Overall Organization ID]],Q99),2), "TRUE", ROUND(U99-SUMIFS(ACOAETME2022[[#All],[TOTAL Non-Truncated Unadjusted Claims Expenses]], ACOAETME2022[[#All],[Insurance Category Code]],2, ACOAETME2022[[#All],[ACO/AE or Insurer Overall Organization ID]],Q99),2))</f>
        <v>TRUE</v>
      </c>
      <c r="AA99" s="535" t="str">
        <f>IF(V99=ROUND(SUMIFS(ACOAETME2022[[#All],[TOTAL Truncated Unadjusted Claims Expenses (A19 - A17)]], ACOAETME2022[[#All],[Insurance Category Code]],2, ACOAETME2022[[#All],[ACO/AE or Insurer Overall Organization ID]],Q99),2), "TRUE", ROUND(V99-SUMIFS(ACOAETME2022[[#All],[TOTAL Truncated Unadjusted Claims Expenses (A19 - A17)]], ACOAETME2022[[#All],[Insurance Category Code]],2, ACOAETME2022[[#All],[ACO/AE or Insurer Overall Organization ID]],Q99),2))</f>
        <v>TRUE</v>
      </c>
      <c r="AB99" s="6" t="str">
        <f t="shared" si="15"/>
        <v>TRUE</v>
      </c>
      <c r="AC99" s="6" t="b">
        <f>ROUND(SUMIFS(ACOAETME2022[[#All],[TOTAL Non-Truncated Unadjusted Claims Expenses]], ACOAETME2022[[#All],[Insurance Category Code]],2, ACOAETME2022[[#All],[ACO/AE or Insurer Overall Organization ID]],Q99), 2)&gt;=ROUND(SUMIFS(ACOAETME2022[[#All],[TOTAL Truncated Unadjusted Claims Expenses (A19 - A17)]], ACOAETME2022[[#All],[Insurance Category Code]],2, ACOAETME2022[[#All],[ACO/AE or Insurer Overall Organization ID]],Q99),2)</f>
        <v>1</v>
      </c>
      <c r="AD99" s="6" t="b">
        <f>ROUND(SUMIFS(ACOAETME2022[[#All],[TOTAL Truncated Unadjusted Claims Expenses (A19 - A17)]], ACOAETME2022[[#All],[Insurance Category Code]],2, ACOAETME2022[[#All],[ACO/AE or Insurer Overall Organization ID]],Q99)+SUMIFS(ACOAETME2022[[#All],[Total Claims Excluded because of Truncation]], ACOAETME2022[[#All],[Insurance Category Code]],2, ACOAETME2022[[#All],[ACO/AE or Insurer Overall Organization ID]],Q99),2)=ROUND(SUMIFS(ACOAETME2022[[#All],[TOTAL Non-Truncated Unadjusted Claims Expenses]], ACOAETME2022[[#All],[Insurance Category Code]],2, ACOAETME2022[[#All],[ACO/AE or Insurer Overall Organization ID]],Q99), 2)</f>
        <v>1</v>
      </c>
      <c r="AG99" s="454" t="str">
        <f t="shared" si="16"/>
        <v>NA</v>
      </c>
    </row>
    <row r="100" spans="2:33" x14ac:dyDescent="0.35">
      <c r="B100" s="115">
        <v>106</v>
      </c>
      <c r="C100" s="192">
        <f>ROUND(SUMIFS(AgeSex21[[#All],[Total Member Months by Age/Sex Band]], AgeSex21[[#All],[ACO/AE ID or Insurer Overall]], $B100, AgeSex21[[#All], [Insurance Category Code]],2), 2)</f>
        <v>0</v>
      </c>
      <c r="D100" s="452">
        <f>ROUND(SUMIFS(AgeSex21[[#All],[Total Dollars Excluded from Spending After Applying Truncation at the Member Level]], AgeSex21[[#All],[ACO/AE ID or Insurer Overall]], $B100, AgeSex21[[#All], [Insurance Category Code]],2), 2)</f>
        <v>0</v>
      </c>
      <c r="E100" s="6">
        <f>ROUND(SUMIFS(AgeSex21[[#All],[Count of Members Whose Spending was Truncated]], AgeSex21[[#All],[ACO/AE ID or Insurer Overall]], $B100, AgeSex21[[#All], [Insurance Category Code]],2), 2)</f>
        <v>0</v>
      </c>
      <c r="F100" s="452">
        <f>ROUND(SUMIFS(AgeSex21[[#All],[Total Spending before Truncation is Applied]], AgeSex21[[#All],[ACO/AE ID or Insurer Overall]], $B100, AgeSex21[[#All], [Insurance Category Code]],2), 2)</f>
        <v>0</v>
      </c>
      <c r="G100" s="452">
        <f>ROUND(SUMIFS(AgeSex21[[#All],[Total Spending After Applying Truncation at the Member Level]], AgeSex21[[#All],[ACO/AE ID or Insurer Overall]], $B100, AgeSex21[[#All], [Insurance Category Code]],2), 2)</f>
        <v>0</v>
      </c>
      <c r="H100" s="6" t="str">
        <f>IF(C100=ROUND(SUMIFS(ACOAETME2021[[#All],[Member Months]], ACOAETME2021[[#All],[Insurance Category Code]],2, ACOAETME2021[[#All],[ACO/AE or Insurer Overall Organization ID]],B100),2), "TRUE", ROUND(C100-SUMIFS(ACOAETME2021[[#All],[Member Months]], ACOAETME2021[[#All],[Insurance Category Code]],2, ACOAETME2021[[#All],[ACO/AE or Insurer Overall Organization ID]],B100),2))</f>
        <v>TRUE</v>
      </c>
      <c r="I100" s="6" t="str">
        <f>IF(D100=ROUND(SUMIFS(ACOAETME2021[[#All],[Total Claims Excluded because of Truncation]], ACOAETME2021[[#All],[Insurance Category Code]],2, ACOAETME2021[[#All],[ACO/AE or Insurer Overall Organization ID]],B100),2), "TRUE", ROUND(D100-SUMIFS(ACOAETME2021[[#All],[Total Claims Excluded because of Truncation]], ACOAETME2021[[#All],[Insurance Category Code]],2, ACOAETME2021[[#All],[ACO/AE or Insurer Overall Organization ID]],B100),2))</f>
        <v>TRUE</v>
      </c>
      <c r="J100" s="6" t="str">
        <f>IF(E100=ROUND(SUMIFS(ACOAETME2021[[#All],[Count of Members with Claims Truncated]], ACOAETME2021[[#All],[Insurance Category Code]],2, ACOAETME2021[[#All],[ACO/AE or Insurer Overall Organization ID]],B100),2), "TRUE", ROUND(E100-SUMIFS(ACOAETME2021[[#All],[Count of Members with Claims Truncated]], ACOAETME2021[[#All],[Insurance Category Code]],2, ACOAETME2021[[#All],[ACO/AE or Insurer Overall Organization ID]],B100),2))</f>
        <v>TRUE</v>
      </c>
      <c r="K100" s="535" t="str">
        <f>IF(F100=ROUND(SUMIFS(ACOAETME2021[[#All],[TOTAL Non-Truncated Unadjusted Claims Expenses]], ACOAETME2021[[#All],[Insurance Category Code]],2, ACOAETME2021[[#All],[ACO/AE or Insurer Overall Organization ID]],B100),2), "TRUE", ROUND(F100-SUMIFS(ACOAETME2021[[#All],[TOTAL Non-Truncated Unadjusted Claims Expenses]], ACOAETME2021[[#All],[Insurance Category Code]],2, ACOAETME2021[[#All],[ACO/AE or Insurer Overall Organization ID]],B100),2))</f>
        <v>TRUE</v>
      </c>
      <c r="L100" s="535" t="str">
        <f>IF(G100=ROUND(SUMIFS(ACOAETME2021[[#All],[TOTAL Truncated Unadjusted Claims Expenses (A19 - A17)]], ACOAETME2021[[#All],[Insurance Category Code]],2, ACOAETME2021[[#All],[ACO/AE or Insurer Overall Organization ID]],B100),2), "TRUE", ROUND(G100-SUMIFS(ACOAETME2021[[#All],[TOTAL Truncated Unadjusted Claims Expenses (A19 - A17)]], ACOAETME2021[[#All],[Insurance Category Code]],2, ACOAETME2021[[#All],[ACO/AE or Insurer Overall Organization ID]],B100),2))</f>
        <v>TRUE</v>
      </c>
      <c r="M100" s="6" t="str">
        <f t="shared" si="17"/>
        <v>TRUE</v>
      </c>
      <c r="N100" s="6" t="b">
        <f>ROUND(SUMIFS(ACOAETME2021[[#All],[TOTAL Non-Truncated Unadjusted Claims Expenses]], ACOAETME2021[[#All],[Insurance Category Code]],2, ACOAETME2021[[#All],[ACO/AE or Insurer Overall Organization ID]],B100), 2)&gt;=ROUND(SUMIFS(ACOAETME2021[[#All],[TOTAL Truncated Unadjusted Claims Expenses (A19 - A17)]], ACOAETME2021[[#All],[Insurance Category Code]],2, ACOAETME2021[[#All],[ACO/AE or Insurer Overall Organization ID]],B100),2)</f>
        <v>1</v>
      </c>
      <c r="O100" s="6" t="b">
        <f>ROUND(SUMIFS(ACOAETME2021[[#All],[TOTAL Truncated Unadjusted Claims Expenses (A19 - A17)]], ACOAETME2021[[#All],[Insurance Category Code]],2, ACOAETME2021[[#All],[ACO/AE or Insurer Overall Organization ID]],B100)+SUMIFS(ACOAETME2021[[#All],[Total Claims Excluded because of Truncation]], ACOAETME2021[[#All],[Insurance Category Code]],2, ACOAETME2021[[#All],[ACO/AE or Insurer Overall Organization ID]],B100),2)=ROUND(SUMIFS(ACOAETME2021[[#All],[TOTAL Non-Truncated Unadjusted Claims Expenses]], ACOAETME2021[[#All],[Insurance Category Code]],2, ACOAETME2021[[#All],[ACO/AE or Insurer Overall Organization ID]],B100), 2)</f>
        <v>1</v>
      </c>
      <c r="Q100" s="115">
        <v>106</v>
      </c>
      <c r="R100" s="194">
        <f>ROUND(SUMIFS(AgeSex22[[#All],[Total Member Months by Age/Sex Band]], AgeSex22[[#All],[ACO/AE ID or Insurer Overall]], $B100, AgeSex22[[#All], [Insurance Category Code]],2), 2)</f>
        <v>0</v>
      </c>
      <c r="S100" s="452">
        <f>ROUND(SUMIFS(AgeSex22[[#All],[Total Dollars Excluded from Spending After Applying Truncation at the Member Level]], AgeSex22[[#All],[ACO/AE ID or Insurer Overall]], $B100, AgeSex22[[#All], [Insurance Category Code]],2), 2)</f>
        <v>0</v>
      </c>
      <c r="T100" s="6">
        <f>ROUND(SUMIFS(AgeSex22[[#All],[Count of Members Whose Spending was Truncated]], AgeSex22[[#All],[ACO/AE ID or Insurer Overall]], $B100, AgeSex22[[#All], [Insurance Category Code]],2), 2)</f>
        <v>0</v>
      </c>
      <c r="U100" s="452">
        <f>ROUND(SUMIFS(AgeSex22[[#All],[Total Spending before Truncation is Applied]], AgeSex22[[#All],[ACO/AE ID or Insurer Overall]], $B100, AgeSex22[[#All], [Insurance Category Code]],2), 2)</f>
        <v>0</v>
      </c>
      <c r="V100" s="452">
        <f>ROUND(SUMIFS(AgeSex22[[#All],[Total Spending After Applying Truncation at the Member Level]], AgeSex22[[#All],[ACO/AE ID or Insurer Overall]], $B100, AgeSex22[[#All], [Insurance Category Code]],2), 2)</f>
        <v>0</v>
      </c>
      <c r="W100" s="457" t="str">
        <f>IF(R100=ROUND(SUMIFS(ACOAETME2022[[#All],[Member Months]], ACOAETME2022[[#All],[Insurance Category Code]],2, ACOAETME2022[[#All],[ACO/AE or Insurer Overall Organization ID]],Q100),2), "TRUE", ROUND(R100-SUMIFS(ACOAETME2022[[#All],[Member Months]], ACOAETME2022[[#All],[Insurance Category Code]],2, ACOAETME2022[[#All],[ACO/AE or Insurer Overall Organization ID]],Q100),2))</f>
        <v>TRUE</v>
      </c>
      <c r="X100" s="6" t="str">
        <f>IF(S100=ROUND(SUMIFS(ACOAETME2022[[#All],[Total Claims Excluded because of Truncation]], ACOAETME2022[[#All],[Insurance Category Code]],2, ACOAETME2022[[#All],[ACO/AE or Insurer Overall Organization ID]],Q100),2), "TRUE", ROUND(S100-SUMIFS(ACOAETME2022[[#All],[Total Claims Excluded because of Truncation]], ACOAETME2022[[#All],[Insurance Category Code]],2, ACOAETME2022[[#All],[ACO/AE or Insurer Overall Organization ID]],Q100),2))</f>
        <v>TRUE</v>
      </c>
      <c r="Y100" s="6" t="str">
        <f>IF(T100=ROUND(SUMIFS(ACOAETME2022[[#All],[Count of Members with Claims Truncated]], ACOAETME2022[[#All],[Insurance Category Code]],2, ACOAETME2022[[#All],[ACO/AE or Insurer Overall Organization ID]],Q100),2), "TRUE", ROUND(T100-SUMIFS(ACOAETME2022[[#All],[Count of Members with Claims Truncated]], ACOAETME2022[[#All],[Insurance Category Code]],2, ACOAETME2022[[#All],[ACO/AE or Insurer Overall Organization ID]],Q100),2))</f>
        <v>TRUE</v>
      </c>
      <c r="Z100" s="535" t="str">
        <f>IF(U100=ROUND(SUMIFS(ACOAETME2022[[#All],[TOTAL Non-Truncated Unadjusted Claims Expenses]], ACOAETME2022[[#All],[Insurance Category Code]],2, ACOAETME2022[[#All],[ACO/AE or Insurer Overall Organization ID]],Q100),2), "TRUE", ROUND(U100-SUMIFS(ACOAETME2022[[#All],[TOTAL Non-Truncated Unadjusted Claims Expenses]], ACOAETME2022[[#All],[Insurance Category Code]],2, ACOAETME2022[[#All],[ACO/AE or Insurer Overall Organization ID]],Q100),2))</f>
        <v>TRUE</v>
      </c>
      <c r="AA100" s="535" t="str">
        <f>IF(V100=ROUND(SUMIFS(ACOAETME2022[[#All],[TOTAL Truncated Unadjusted Claims Expenses (A19 - A17)]], ACOAETME2022[[#All],[Insurance Category Code]],2, ACOAETME2022[[#All],[ACO/AE or Insurer Overall Organization ID]],Q100),2), "TRUE", ROUND(V100-SUMIFS(ACOAETME2022[[#All],[TOTAL Truncated Unadjusted Claims Expenses (A19 - A17)]], ACOAETME2022[[#All],[Insurance Category Code]],2, ACOAETME2022[[#All],[ACO/AE or Insurer Overall Organization ID]],Q100),2))</f>
        <v>TRUE</v>
      </c>
      <c r="AB100" s="6" t="str">
        <f t="shared" si="15"/>
        <v>TRUE</v>
      </c>
      <c r="AC100" s="6" t="b">
        <f>ROUND(SUMIFS(ACOAETME2022[[#All],[TOTAL Non-Truncated Unadjusted Claims Expenses]], ACOAETME2022[[#All],[Insurance Category Code]],2, ACOAETME2022[[#All],[ACO/AE or Insurer Overall Organization ID]],Q100), 2)&gt;=ROUND(SUMIFS(ACOAETME2022[[#All],[TOTAL Truncated Unadjusted Claims Expenses (A19 - A17)]], ACOAETME2022[[#All],[Insurance Category Code]],2, ACOAETME2022[[#All],[ACO/AE or Insurer Overall Organization ID]],Q100),2)</f>
        <v>1</v>
      </c>
      <c r="AD100" s="6" t="b">
        <f>ROUND(SUMIFS(ACOAETME2022[[#All],[TOTAL Truncated Unadjusted Claims Expenses (A19 - A17)]], ACOAETME2022[[#All],[Insurance Category Code]],2, ACOAETME2022[[#All],[ACO/AE or Insurer Overall Organization ID]],Q100)+SUMIFS(ACOAETME2022[[#All],[Total Claims Excluded because of Truncation]], ACOAETME2022[[#All],[Insurance Category Code]],2, ACOAETME2022[[#All],[ACO/AE or Insurer Overall Organization ID]],Q100),2)=ROUND(SUMIFS(ACOAETME2022[[#All],[TOTAL Non-Truncated Unadjusted Claims Expenses]], ACOAETME2022[[#All],[Insurance Category Code]],2, ACOAETME2022[[#All],[ACO/AE or Insurer Overall Organization ID]],Q100), 2)</f>
        <v>1</v>
      </c>
      <c r="AG100" s="454" t="str">
        <f t="shared" si="16"/>
        <v>NA</v>
      </c>
    </row>
    <row r="101" spans="2:33" x14ac:dyDescent="0.35">
      <c r="B101" s="115">
        <v>107</v>
      </c>
      <c r="C101" s="192">
        <f>ROUND(SUMIFS(AgeSex21[[#All],[Total Member Months by Age/Sex Band]], AgeSex21[[#All],[ACO/AE ID or Insurer Overall]], $B101, AgeSex21[[#All], [Insurance Category Code]],2), 2)</f>
        <v>0</v>
      </c>
      <c r="D101" s="452">
        <f>ROUND(SUMIFS(AgeSex21[[#All],[Total Dollars Excluded from Spending After Applying Truncation at the Member Level]], AgeSex21[[#All],[ACO/AE ID or Insurer Overall]], $B101, AgeSex21[[#All], [Insurance Category Code]],2), 2)</f>
        <v>0</v>
      </c>
      <c r="E101" s="6">
        <f>ROUND(SUMIFS(AgeSex21[[#All],[Count of Members Whose Spending was Truncated]], AgeSex21[[#All],[ACO/AE ID or Insurer Overall]], $B101, AgeSex21[[#All], [Insurance Category Code]],2), 2)</f>
        <v>0</v>
      </c>
      <c r="F101" s="452">
        <f>ROUND(SUMIFS(AgeSex21[[#All],[Total Spending before Truncation is Applied]], AgeSex21[[#All],[ACO/AE ID or Insurer Overall]], $B101, AgeSex21[[#All], [Insurance Category Code]],2), 2)</f>
        <v>0</v>
      </c>
      <c r="G101" s="452">
        <f>ROUND(SUMIFS(AgeSex21[[#All],[Total Spending After Applying Truncation at the Member Level]], AgeSex21[[#All],[ACO/AE ID or Insurer Overall]], $B101, AgeSex21[[#All], [Insurance Category Code]],2), 2)</f>
        <v>0</v>
      </c>
      <c r="H101" s="6" t="str">
        <f>IF(C101=ROUND(SUMIFS(ACOAETME2021[[#All],[Member Months]], ACOAETME2021[[#All],[Insurance Category Code]],2, ACOAETME2021[[#All],[ACO/AE or Insurer Overall Organization ID]],B101),2), "TRUE", ROUND(C101-SUMIFS(ACOAETME2021[[#All],[Member Months]], ACOAETME2021[[#All],[Insurance Category Code]],2, ACOAETME2021[[#All],[ACO/AE or Insurer Overall Organization ID]],B101),2))</f>
        <v>TRUE</v>
      </c>
      <c r="I101" s="6" t="str">
        <f>IF(D101=ROUND(SUMIFS(ACOAETME2021[[#All],[Total Claims Excluded because of Truncation]], ACOAETME2021[[#All],[Insurance Category Code]],2, ACOAETME2021[[#All],[ACO/AE or Insurer Overall Organization ID]],B101),2), "TRUE", ROUND(D101-SUMIFS(ACOAETME2021[[#All],[Total Claims Excluded because of Truncation]], ACOAETME2021[[#All],[Insurance Category Code]],2, ACOAETME2021[[#All],[ACO/AE or Insurer Overall Organization ID]],B101),2))</f>
        <v>TRUE</v>
      </c>
      <c r="J101" s="6" t="str">
        <f>IF(E101=ROUND(SUMIFS(ACOAETME2021[[#All],[Count of Members with Claims Truncated]], ACOAETME2021[[#All],[Insurance Category Code]],2, ACOAETME2021[[#All],[ACO/AE or Insurer Overall Organization ID]],B101),2), "TRUE", ROUND(E101-SUMIFS(ACOAETME2021[[#All],[Count of Members with Claims Truncated]], ACOAETME2021[[#All],[Insurance Category Code]],2, ACOAETME2021[[#All],[ACO/AE or Insurer Overall Organization ID]],B101),2))</f>
        <v>TRUE</v>
      </c>
      <c r="K101" s="535" t="str">
        <f>IF(F101=ROUND(SUMIFS(ACOAETME2021[[#All],[TOTAL Non-Truncated Unadjusted Claims Expenses]], ACOAETME2021[[#All],[Insurance Category Code]],2, ACOAETME2021[[#All],[ACO/AE or Insurer Overall Organization ID]],B101),2), "TRUE", ROUND(F101-SUMIFS(ACOAETME2021[[#All],[TOTAL Non-Truncated Unadjusted Claims Expenses]], ACOAETME2021[[#All],[Insurance Category Code]],2, ACOAETME2021[[#All],[ACO/AE or Insurer Overall Organization ID]],B101),2))</f>
        <v>TRUE</v>
      </c>
      <c r="L101" s="535" t="str">
        <f>IF(G101=ROUND(SUMIFS(ACOAETME2021[[#All],[TOTAL Truncated Unadjusted Claims Expenses (A19 - A17)]], ACOAETME2021[[#All],[Insurance Category Code]],2, ACOAETME2021[[#All],[ACO/AE or Insurer Overall Organization ID]],B101),2), "TRUE", ROUND(G101-SUMIFS(ACOAETME2021[[#All],[TOTAL Truncated Unadjusted Claims Expenses (A19 - A17)]], ACOAETME2021[[#All],[Insurance Category Code]],2, ACOAETME2021[[#All],[ACO/AE or Insurer Overall Organization ID]],B101),2))</f>
        <v>TRUE</v>
      </c>
      <c r="M101" s="6" t="str">
        <f t="shared" si="17"/>
        <v>TRUE</v>
      </c>
      <c r="N101" s="6" t="b">
        <f>ROUND(SUMIFS(ACOAETME2021[[#All],[TOTAL Non-Truncated Unadjusted Claims Expenses]], ACOAETME2021[[#All],[Insurance Category Code]],2, ACOAETME2021[[#All],[ACO/AE or Insurer Overall Organization ID]],B101), 2)&gt;=ROUND(SUMIFS(ACOAETME2021[[#All],[TOTAL Truncated Unadjusted Claims Expenses (A19 - A17)]], ACOAETME2021[[#All],[Insurance Category Code]],2, ACOAETME2021[[#All],[ACO/AE or Insurer Overall Organization ID]],B101),2)</f>
        <v>1</v>
      </c>
      <c r="O101" s="6" t="b">
        <f>ROUND(SUMIFS(ACOAETME2021[[#All],[TOTAL Truncated Unadjusted Claims Expenses (A19 - A17)]], ACOAETME2021[[#All],[Insurance Category Code]],2, ACOAETME2021[[#All],[ACO/AE or Insurer Overall Organization ID]],B101)+SUMIFS(ACOAETME2021[[#All],[Total Claims Excluded because of Truncation]], ACOAETME2021[[#All],[Insurance Category Code]],2, ACOAETME2021[[#All],[ACO/AE or Insurer Overall Organization ID]],B101),2)=ROUND(SUMIFS(ACOAETME2021[[#All],[TOTAL Non-Truncated Unadjusted Claims Expenses]], ACOAETME2021[[#All],[Insurance Category Code]],2, ACOAETME2021[[#All],[ACO/AE or Insurer Overall Organization ID]],B101), 2)</f>
        <v>1</v>
      </c>
      <c r="Q101" s="115">
        <v>107</v>
      </c>
      <c r="R101" s="194">
        <f>ROUND(SUMIFS(AgeSex22[[#All],[Total Member Months by Age/Sex Band]], AgeSex22[[#All],[ACO/AE ID or Insurer Overall]], $B101, AgeSex22[[#All], [Insurance Category Code]],2), 2)</f>
        <v>0</v>
      </c>
      <c r="S101" s="452">
        <f>ROUND(SUMIFS(AgeSex22[[#All],[Total Dollars Excluded from Spending After Applying Truncation at the Member Level]], AgeSex22[[#All],[ACO/AE ID or Insurer Overall]], $B101, AgeSex22[[#All], [Insurance Category Code]],2), 2)</f>
        <v>0</v>
      </c>
      <c r="T101" s="6">
        <f>ROUND(SUMIFS(AgeSex22[[#All],[Count of Members Whose Spending was Truncated]], AgeSex22[[#All],[ACO/AE ID or Insurer Overall]], $B101, AgeSex22[[#All], [Insurance Category Code]],2), 2)</f>
        <v>0</v>
      </c>
      <c r="U101" s="452">
        <f>ROUND(SUMIFS(AgeSex22[[#All],[Total Spending before Truncation is Applied]], AgeSex22[[#All],[ACO/AE ID or Insurer Overall]], $B101, AgeSex22[[#All], [Insurance Category Code]],2), 2)</f>
        <v>0</v>
      </c>
      <c r="V101" s="452">
        <f>ROUND(SUMIFS(AgeSex22[[#All],[Total Spending After Applying Truncation at the Member Level]], AgeSex22[[#All],[ACO/AE ID or Insurer Overall]], $B101, AgeSex22[[#All], [Insurance Category Code]],2), 2)</f>
        <v>0</v>
      </c>
      <c r="W101" s="457" t="str">
        <f>IF(R101=ROUND(SUMIFS(ACOAETME2022[[#All],[Member Months]], ACOAETME2022[[#All],[Insurance Category Code]],2, ACOAETME2022[[#All],[ACO/AE or Insurer Overall Organization ID]],Q101),2), "TRUE", ROUND(R101-SUMIFS(ACOAETME2022[[#All],[Member Months]], ACOAETME2022[[#All],[Insurance Category Code]],2, ACOAETME2022[[#All],[ACO/AE or Insurer Overall Organization ID]],Q101),2))</f>
        <v>TRUE</v>
      </c>
      <c r="X101" s="6" t="str">
        <f>IF(S101=ROUND(SUMIFS(ACOAETME2022[[#All],[Total Claims Excluded because of Truncation]], ACOAETME2022[[#All],[Insurance Category Code]],2, ACOAETME2022[[#All],[ACO/AE or Insurer Overall Organization ID]],Q101),2), "TRUE", ROUND(S101-SUMIFS(ACOAETME2022[[#All],[Total Claims Excluded because of Truncation]], ACOAETME2022[[#All],[Insurance Category Code]],2, ACOAETME2022[[#All],[ACO/AE or Insurer Overall Organization ID]],Q101),2))</f>
        <v>TRUE</v>
      </c>
      <c r="Y101" s="6" t="str">
        <f>IF(T101=ROUND(SUMIFS(ACOAETME2022[[#All],[Count of Members with Claims Truncated]], ACOAETME2022[[#All],[Insurance Category Code]],2, ACOAETME2022[[#All],[ACO/AE or Insurer Overall Organization ID]],Q101),2), "TRUE", ROUND(T101-SUMIFS(ACOAETME2022[[#All],[Count of Members with Claims Truncated]], ACOAETME2022[[#All],[Insurance Category Code]],2, ACOAETME2022[[#All],[ACO/AE or Insurer Overall Organization ID]],Q101),2))</f>
        <v>TRUE</v>
      </c>
      <c r="Z101" s="535" t="str">
        <f>IF(U101=ROUND(SUMIFS(ACOAETME2022[[#All],[TOTAL Non-Truncated Unadjusted Claims Expenses]], ACOAETME2022[[#All],[Insurance Category Code]],2, ACOAETME2022[[#All],[ACO/AE or Insurer Overall Organization ID]],Q101),2), "TRUE", ROUND(U101-SUMIFS(ACOAETME2022[[#All],[TOTAL Non-Truncated Unadjusted Claims Expenses]], ACOAETME2022[[#All],[Insurance Category Code]],2, ACOAETME2022[[#All],[ACO/AE or Insurer Overall Organization ID]],Q101),2))</f>
        <v>TRUE</v>
      </c>
      <c r="AA101" s="535" t="str">
        <f>IF(V101=ROUND(SUMIFS(ACOAETME2022[[#All],[TOTAL Truncated Unadjusted Claims Expenses (A19 - A17)]], ACOAETME2022[[#All],[Insurance Category Code]],2, ACOAETME2022[[#All],[ACO/AE or Insurer Overall Organization ID]],Q101),2), "TRUE", ROUND(V101-SUMIFS(ACOAETME2022[[#All],[TOTAL Truncated Unadjusted Claims Expenses (A19 - A17)]], ACOAETME2022[[#All],[Insurance Category Code]],2, ACOAETME2022[[#All],[ACO/AE or Insurer Overall Organization ID]],Q101),2))</f>
        <v>TRUE</v>
      </c>
      <c r="AB101" s="6" t="str">
        <f t="shared" si="15"/>
        <v>TRUE</v>
      </c>
      <c r="AC101" s="6" t="b">
        <f>ROUND(SUMIFS(ACOAETME2022[[#All],[TOTAL Non-Truncated Unadjusted Claims Expenses]], ACOAETME2022[[#All],[Insurance Category Code]],2, ACOAETME2022[[#All],[ACO/AE or Insurer Overall Organization ID]],Q101), 2)&gt;=ROUND(SUMIFS(ACOAETME2022[[#All],[TOTAL Truncated Unadjusted Claims Expenses (A19 - A17)]], ACOAETME2022[[#All],[Insurance Category Code]],2, ACOAETME2022[[#All],[ACO/AE or Insurer Overall Organization ID]],Q101),2)</f>
        <v>1</v>
      </c>
      <c r="AD101" s="6" t="b">
        <f>ROUND(SUMIFS(ACOAETME2022[[#All],[TOTAL Truncated Unadjusted Claims Expenses (A19 - A17)]], ACOAETME2022[[#All],[Insurance Category Code]],2, ACOAETME2022[[#All],[ACO/AE or Insurer Overall Organization ID]],Q101)+SUMIFS(ACOAETME2022[[#All],[Total Claims Excluded because of Truncation]], ACOAETME2022[[#All],[Insurance Category Code]],2, ACOAETME2022[[#All],[ACO/AE or Insurer Overall Organization ID]],Q101),2)=ROUND(SUMIFS(ACOAETME2022[[#All],[TOTAL Non-Truncated Unadjusted Claims Expenses]], ACOAETME2022[[#All],[Insurance Category Code]],2, ACOAETME2022[[#All],[ACO/AE or Insurer Overall Organization ID]],Q101), 2)</f>
        <v>1</v>
      </c>
      <c r="AG101" s="454" t="str">
        <f t="shared" si="16"/>
        <v>NA</v>
      </c>
    </row>
    <row r="102" spans="2:33" x14ac:dyDescent="0.35">
      <c r="B102" s="115">
        <v>108</v>
      </c>
      <c r="C102" s="192">
        <f>ROUND(SUMIFS(AgeSex21[[#All],[Total Member Months by Age/Sex Band]], AgeSex21[[#All],[ACO/AE ID or Insurer Overall]], $B102, AgeSex21[[#All], [Insurance Category Code]],2), 2)</f>
        <v>0</v>
      </c>
      <c r="D102" s="452">
        <f>ROUND(SUMIFS(AgeSex21[[#All],[Total Dollars Excluded from Spending After Applying Truncation at the Member Level]], AgeSex21[[#All],[ACO/AE ID or Insurer Overall]], $B102, AgeSex21[[#All], [Insurance Category Code]],2), 2)</f>
        <v>0</v>
      </c>
      <c r="E102" s="6">
        <f>ROUND(SUMIFS(AgeSex21[[#All],[Count of Members Whose Spending was Truncated]], AgeSex21[[#All],[ACO/AE ID or Insurer Overall]], $B102, AgeSex21[[#All], [Insurance Category Code]],2), 2)</f>
        <v>0</v>
      </c>
      <c r="F102" s="452">
        <f>ROUND(SUMIFS(AgeSex21[[#All],[Total Spending before Truncation is Applied]], AgeSex21[[#All],[ACO/AE ID or Insurer Overall]], $B102, AgeSex21[[#All], [Insurance Category Code]],2), 2)</f>
        <v>0</v>
      </c>
      <c r="G102" s="452">
        <f>ROUND(SUMIFS(AgeSex21[[#All],[Total Spending After Applying Truncation at the Member Level]], AgeSex21[[#All],[ACO/AE ID or Insurer Overall]], $B102, AgeSex21[[#All], [Insurance Category Code]],2), 2)</f>
        <v>0</v>
      </c>
      <c r="H102" s="6" t="str">
        <f>IF(C102=ROUND(SUMIFS(ACOAETME2021[[#All],[Member Months]], ACOAETME2021[[#All],[Insurance Category Code]],2, ACOAETME2021[[#All],[ACO/AE or Insurer Overall Organization ID]],B102),2), "TRUE", ROUND(C102-SUMIFS(ACOAETME2021[[#All],[Member Months]], ACOAETME2021[[#All],[Insurance Category Code]],2, ACOAETME2021[[#All],[ACO/AE or Insurer Overall Organization ID]],B102),2))</f>
        <v>TRUE</v>
      </c>
      <c r="I102" s="6" t="str">
        <f>IF(D102=ROUND(SUMIFS(ACOAETME2021[[#All],[Total Claims Excluded because of Truncation]], ACOAETME2021[[#All],[Insurance Category Code]],2, ACOAETME2021[[#All],[ACO/AE or Insurer Overall Organization ID]],B102),2), "TRUE", ROUND(D102-SUMIFS(ACOAETME2021[[#All],[Total Claims Excluded because of Truncation]], ACOAETME2021[[#All],[Insurance Category Code]],2, ACOAETME2021[[#All],[ACO/AE or Insurer Overall Organization ID]],B102),2))</f>
        <v>TRUE</v>
      </c>
      <c r="J102" s="6" t="str">
        <f>IF(E102=ROUND(SUMIFS(ACOAETME2021[[#All],[Count of Members with Claims Truncated]], ACOAETME2021[[#All],[Insurance Category Code]],2, ACOAETME2021[[#All],[ACO/AE or Insurer Overall Organization ID]],B102),2), "TRUE", ROUND(E102-SUMIFS(ACOAETME2021[[#All],[Count of Members with Claims Truncated]], ACOAETME2021[[#All],[Insurance Category Code]],2, ACOAETME2021[[#All],[ACO/AE or Insurer Overall Organization ID]],B102),2))</f>
        <v>TRUE</v>
      </c>
      <c r="K102" s="535" t="str">
        <f>IF(F102=ROUND(SUMIFS(ACOAETME2021[[#All],[TOTAL Non-Truncated Unadjusted Claims Expenses]], ACOAETME2021[[#All],[Insurance Category Code]],2, ACOAETME2021[[#All],[ACO/AE or Insurer Overall Organization ID]],B102),2), "TRUE", ROUND(F102-SUMIFS(ACOAETME2021[[#All],[TOTAL Non-Truncated Unadjusted Claims Expenses]], ACOAETME2021[[#All],[Insurance Category Code]],2, ACOAETME2021[[#All],[ACO/AE or Insurer Overall Organization ID]],B102),2))</f>
        <v>TRUE</v>
      </c>
      <c r="L102" s="535" t="str">
        <f>IF(G102=ROUND(SUMIFS(ACOAETME2021[[#All],[TOTAL Truncated Unadjusted Claims Expenses (A19 - A17)]], ACOAETME2021[[#All],[Insurance Category Code]],2, ACOAETME2021[[#All],[ACO/AE or Insurer Overall Organization ID]],B102),2), "TRUE", ROUND(G102-SUMIFS(ACOAETME2021[[#All],[TOTAL Truncated Unadjusted Claims Expenses (A19 - A17)]], ACOAETME2021[[#All],[Insurance Category Code]],2, ACOAETME2021[[#All],[ACO/AE or Insurer Overall Organization ID]],B102),2))</f>
        <v>TRUE</v>
      </c>
      <c r="M102" s="6" t="str">
        <f t="shared" si="17"/>
        <v>TRUE</v>
      </c>
      <c r="N102" s="6" t="b">
        <f>ROUND(SUMIFS(ACOAETME2021[[#All],[TOTAL Non-Truncated Unadjusted Claims Expenses]], ACOAETME2021[[#All],[Insurance Category Code]],2, ACOAETME2021[[#All],[ACO/AE or Insurer Overall Organization ID]],B102), 2)&gt;=ROUND(SUMIFS(ACOAETME2021[[#All],[TOTAL Truncated Unadjusted Claims Expenses (A19 - A17)]], ACOAETME2021[[#All],[Insurance Category Code]],2, ACOAETME2021[[#All],[ACO/AE or Insurer Overall Organization ID]],B102),2)</f>
        <v>1</v>
      </c>
      <c r="O102" s="6" t="b">
        <f>ROUND(SUMIFS(ACOAETME2021[[#All],[TOTAL Truncated Unadjusted Claims Expenses (A19 - A17)]], ACOAETME2021[[#All],[Insurance Category Code]],2, ACOAETME2021[[#All],[ACO/AE or Insurer Overall Organization ID]],B102)+SUMIFS(ACOAETME2021[[#All],[Total Claims Excluded because of Truncation]], ACOAETME2021[[#All],[Insurance Category Code]],2, ACOAETME2021[[#All],[ACO/AE or Insurer Overall Organization ID]],B102),2)=ROUND(SUMIFS(ACOAETME2021[[#All],[TOTAL Non-Truncated Unadjusted Claims Expenses]], ACOAETME2021[[#All],[Insurance Category Code]],2, ACOAETME2021[[#All],[ACO/AE or Insurer Overall Organization ID]],B102), 2)</f>
        <v>1</v>
      </c>
      <c r="Q102" s="115">
        <v>108</v>
      </c>
      <c r="R102" s="194">
        <f>ROUND(SUMIFS(AgeSex22[[#All],[Total Member Months by Age/Sex Band]], AgeSex22[[#All],[ACO/AE ID or Insurer Overall]], $B102, AgeSex22[[#All], [Insurance Category Code]],2), 2)</f>
        <v>0</v>
      </c>
      <c r="S102" s="452">
        <f>ROUND(SUMIFS(AgeSex22[[#All],[Total Dollars Excluded from Spending After Applying Truncation at the Member Level]], AgeSex22[[#All],[ACO/AE ID or Insurer Overall]], $B102, AgeSex22[[#All], [Insurance Category Code]],2), 2)</f>
        <v>0</v>
      </c>
      <c r="T102" s="6">
        <f>ROUND(SUMIFS(AgeSex22[[#All],[Count of Members Whose Spending was Truncated]], AgeSex22[[#All],[ACO/AE ID or Insurer Overall]], $B102, AgeSex22[[#All], [Insurance Category Code]],2), 2)</f>
        <v>0</v>
      </c>
      <c r="U102" s="452">
        <f>ROUND(SUMIFS(AgeSex22[[#All],[Total Spending before Truncation is Applied]], AgeSex22[[#All],[ACO/AE ID or Insurer Overall]], $B102, AgeSex22[[#All], [Insurance Category Code]],2), 2)</f>
        <v>0</v>
      </c>
      <c r="V102" s="452">
        <f>ROUND(SUMIFS(AgeSex22[[#All],[Total Spending After Applying Truncation at the Member Level]], AgeSex22[[#All],[ACO/AE ID or Insurer Overall]], $B102, AgeSex22[[#All], [Insurance Category Code]],2), 2)</f>
        <v>0</v>
      </c>
      <c r="W102" s="457" t="str">
        <f>IF(R102=ROUND(SUMIFS(ACOAETME2022[[#All],[Member Months]], ACOAETME2022[[#All],[Insurance Category Code]],2, ACOAETME2022[[#All],[ACO/AE or Insurer Overall Organization ID]],Q102),2), "TRUE", ROUND(R102-SUMIFS(ACOAETME2022[[#All],[Member Months]], ACOAETME2022[[#All],[Insurance Category Code]],2, ACOAETME2022[[#All],[ACO/AE or Insurer Overall Organization ID]],Q102),2))</f>
        <v>TRUE</v>
      </c>
      <c r="X102" s="6" t="str">
        <f>IF(S102=ROUND(SUMIFS(ACOAETME2022[[#All],[Total Claims Excluded because of Truncation]], ACOAETME2022[[#All],[Insurance Category Code]],2, ACOAETME2022[[#All],[ACO/AE or Insurer Overall Organization ID]],Q102),2), "TRUE", ROUND(S102-SUMIFS(ACOAETME2022[[#All],[Total Claims Excluded because of Truncation]], ACOAETME2022[[#All],[Insurance Category Code]],2, ACOAETME2022[[#All],[ACO/AE or Insurer Overall Organization ID]],Q102),2))</f>
        <v>TRUE</v>
      </c>
      <c r="Y102" s="6" t="str">
        <f>IF(T102=ROUND(SUMIFS(ACOAETME2022[[#All],[Count of Members with Claims Truncated]], ACOAETME2022[[#All],[Insurance Category Code]],2, ACOAETME2022[[#All],[ACO/AE or Insurer Overall Organization ID]],Q102),2), "TRUE", ROUND(T102-SUMIFS(ACOAETME2022[[#All],[Count of Members with Claims Truncated]], ACOAETME2022[[#All],[Insurance Category Code]],2, ACOAETME2022[[#All],[ACO/AE or Insurer Overall Organization ID]],Q102),2))</f>
        <v>TRUE</v>
      </c>
      <c r="Z102" s="535" t="str">
        <f>IF(U102=ROUND(SUMIFS(ACOAETME2022[[#All],[TOTAL Non-Truncated Unadjusted Claims Expenses]], ACOAETME2022[[#All],[Insurance Category Code]],2, ACOAETME2022[[#All],[ACO/AE or Insurer Overall Organization ID]],Q102),2), "TRUE", ROUND(U102-SUMIFS(ACOAETME2022[[#All],[TOTAL Non-Truncated Unadjusted Claims Expenses]], ACOAETME2022[[#All],[Insurance Category Code]],2, ACOAETME2022[[#All],[ACO/AE or Insurer Overall Organization ID]],Q102),2))</f>
        <v>TRUE</v>
      </c>
      <c r="AA102" s="535" t="str">
        <f>IF(V102=ROUND(SUMIFS(ACOAETME2022[[#All],[TOTAL Truncated Unadjusted Claims Expenses (A19 - A17)]], ACOAETME2022[[#All],[Insurance Category Code]],2, ACOAETME2022[[#All],[ACO/AE or Insurer Overall Organization ID]],Q102),2), "TRUE", ROUND(V102-SUMIFS(ACOAETME2022[[#All],[TOTAL Truncated Unadjusted Claims Expenses (A19 - A17)]], ACOAETME2022[[#All],[Insurance Category Code]],2, ACOAETME2022[[#All],[ACO/AE or Insurer Overall Organization ID]],Q102),2))</f>
        <v>TRUE</v>
      </c>
      <c r="AB102" s="6" t="str">
        <f t="shared" si="15"/>
        <v>TRUE</v>
      </c>
      <c r="AC102" s="6" t="b">
        <f>ROUND(SUMIFS(ACOAETME2022[[#All],[TOTAL Non-Truncated Unadjusted Claims Expenses]], ACOAETME2022[[#All],[Insurance Category Code]],2, ACOAETME2022[[#All],[ACO/AE or Insurer Overall Organization ID]],Q102), 2)&gt;=ROUND(SUMIFS(ACOAETME2022[[#All],[TOTAL Truncated Unadjusted Claims Expenses (A19 - A17)]], ACOAETME2022[[#All],[Insurance Category Code]],2, ACOAETME2022[[#All],[ACO/AE or Insurer Overall Organization ID]],Q102),2)</f>
        <v>1</v>
      </c>
      <c r="AD102" s="6" t="b">
        <f>ROUND(SUMIFS(ACOAETME2022[[#All],[TOTAL Truncated Unadjusted Claims Expenses (A19 - A17)]], ACOAETME2022[[#All],[Insurance Category Code]],2, ACOAETME2022[[#All],[ACO/AE or Insurer Overall Organization ID]],Q102)+SUMIFS(ACOAETME2022[[#All],[Total Claims Excluded because of Truncation]], ACOAETME2022[[#All],[Insurance Category Code]],2, ACOAETME2022[[#All],[ACO/AE or Insurer Overall Organization ID]],Q102),2)=ROUND(SUMIFS(ACOAETME2022[[#All],[TOTAL Non-Truncated Unadjusted Claims Expenses]], ACOAETME2022[[#All],[Insurance Category Code]],2, ACOAETME2022[[#All],[ACO/AE or Insurer Overall Organization ID]],Q102), 2)</f>
        <v>1</v>
      </c>
      <c r="AG102" s="454" t="str">
        <f t="shared" si="16"/>
        <v>NA</v>
      </c>
    </row>
    <row r="103" spans="2:33" x14ac:dyDescent="0.35">
      <c r="B103" s="7">
        <v>999</v>
      </c>
      <c r="C103" s="194">
        <f>ROUND(SUMIFS(AgeSex21[[#All],[Total Member Months by Age/Sex Band]], AgeSex21[[#All],[ACO/AE ID or Insurer Overall]], $B103, AgeSex21[[#All], [Insurance Category Code]],2), 2)</f>
        <v>0</v>
      </c>
      <c r="D103" s="452">
        <f>ROUND(SUMIFS(AgeSex21[[#All],[Total Dollars Excluded from Spending After Applying Truncation at the Member Level]], AgeSex21[[#All],[ACO/AE ID or Insurer Overall]], $B103, AgeSex21[[#All], [Insurance Category Code]],2), 2)</f>
        <v>0</v>
      </c>
      <c r="E103" s="6">
        <f>ROUND(SUMIFS(AgeSex21[[#All],[Count of Members Whose Spending was Truncated]], AgeSex21[[#All],[ACO/AE ID or Insurer Overall]], $B103, AgeSex21[[#All], [Insurance Category Code]],2), 2)</f>
        <v>0</v>
      </c>
      <c r="F103" s="452">
        <f>ROUND(SUMIFS(AgeSex21[[#All],[Total Spending before Truncation is Applied]], AgeSex21[[#All],[ACO/AE ID or Insurer Overall]], $B103, AgeSex21[[#All], [Insurance Category Code]],2), 2)</f>
        <v>0</v>
      </c>
      <c r="G103" s="452">
        <f>ROUND(SUMIFS(AgeSex21[[#All],[Total Spending After Applying Truncation at the Member Level]], AgeSex21[[#All],[ACO/AE ID or Insurer Overall]], $B103, AgeSex21[[#All], [Insurance Category Code]],2), 2)</f>
        <v>0</v>
      </c>
      <c r="H103" s="6" t="str">
        <f>IF(C103=ROUND(SUMIFS(ACOAETME2021[[#All],[Member Months]], ACOAETME2021[[#All],[Insurance Category Code]],2, ACOAETME2021[[#All],[ACO/AE or Insurer Overall Organization ID]],B103),2), "TRUE", ROUND(C103-SUMIFS(ACOAETME2021[[#All],[Member Months]], ACOAETME2021[[#All],[Insurance Category Code]],2, ACOAETME2021[[#All],[ACO/AE or Insurer Overall Organization ID]],B103),2))</f>
        <v>TRUE</v>
      </c>
      <c r="I103" s="6" t="str">
        <f>IF(D103=ROUND(SUMIFS(ACOAETME2021[[#All],[Total Claims Excluded because of Truncation]], ACOAETME2021[[#All],[Insurance Category Code]],2, ACOAETME2021[[#All],[ACO/AE or Insurer Overall Organization ID]],B103),2), "TRUE", ROUND(D103-SUMIFS(ACOAETME2021[[#All],[Total Claims Excluded because of Truncation]], ACOAETME2021[[#All],[Insurance Category Code]],2, ACOAETME2021[[#All],[ACO/AE or Insurer Overall Organization ID]],B103),2))</f>
        <v>TRUE</v>
      </c>
      <c r="J103" s="6" t="str">
        <f>IF(E103=ROUND(SUMIFS(ACOAETME2021[[#All],[Count of Members with Claims Truncated]], ACOAETME2021[[#All],[Insurance Category Code]],2, ACOAETME2021[[#All],[ACO/AE or Insurer Overall Organization ID]],B103),2), "TRUE", ROUND(E103-SUMIFS(ACOAETME2021[[#All],[Count of Members with Claims Truncated]], ACOAETME2021[[#All],[Insurance Category Code]],2, ACOAETME2021[[#All],[ACO/AE or Insurer Overall Organization ID]],B103),2))</f>
        <v>TRUE</v>
      </c>
      <c r="K103" s="535" t="str">
        <f>IF(F103=ROUND(SUMIFS(ACOAETME2021[[#All],[TOTAL Non-Truncated Unadjusted Claims Expenses]], ACOAETME2021[[#All],[Insurance Category Code]],2, ACOAETME2021[[#All],[ACO/AE or Insurer Overall Organization ID]],B103),2), "TRUE", ROUND(F103-SUMIFS(ACOAETME2021[[#All],[TOTAL Non-Truncated Unadjusted Claims Expenses]], ACOAETME2021[[#All],[Insurance Category Code]],2, ACOAETME2021[[#All],[ACO/AE or Insurer Overall Organization ID]],B103),2))</f>
        <v>TRUE</v>
      </c>
      <c r="L103" s="535" t="str">
        <f>IF(G103=ROUND(SUMIFS(ACOAETME2021[[#All],[TOTAL Truncated Unadjusted Claims Expenses (A19 - A17)]], ACOAETME2021[[#All],[Insurance Category Code]],2, ACOAETME2021[[#All],[ACO/AE or Insurer Overall Organization ID]],B103),2), "TRUE", ROUND(G103-SUMIFS(ACOAETME2021[[#All],[TOTAL Truncated Unadjusted Claims Expenses (A19 - A17)]], ACOAETME2021[[#All],[Insurance Category Code]],2, ACOAETME2021[[#All],[ACO/AE or Insurer Overall Organization ID]],B103),2))</f>
        <v>TRUE</v>
      </c>
      <c r="M103" s="6" t="str">
        <f t="shared" ref="M103" si="18">IF(E103=0, "TRUE",IF((C103/12)&gt;E103,"TRUE",(C103/12)-E103))</f>
        <v>TRUE</v>
      </c>
      <c r="N103" s="6" t="b">
        <f>ROUND(SUMIFS(ACOAETME2021[[#All],[TOTAL Non-Truncated Unadjusted Claims Expenses]], ACOAETME2021[[#All],[Insurance Category Code]],2, ACOAETME2021[[#All],[ACO/AE or Insurer Overall Organization ID]],B103), 2)&gt;=ROUND(SUMIFS(ACOAETME2021[[#All],[TOTAL Truncated Unadjusted Claims Expenses (A19 - A17)]], ACOAETME2021[[#All],[Insurance Category Code]],2, ACOAETME2021[[#All],[ACO/AE or Insurer Overall Organization ID]],B103),2)</f>
        <v>1</v>
      </c>
      <c r="O103" s="6" t="b">
        <f>ROUND(SUMIFS(ACOAETME2021[[#All],[TOTAL Truncated Unadjusted Claims Expenses (A19 - A17)]], ACOAETME2021[[#All],[Insurance Category Code]],2, ACOAETME2021[[#All],[ACO/AE or Insurer Overall Organization ID]],B103)+SUMIFS(ACOAETME2021[[#All],[Total Claims Excluded because of Truncation]], ACOAETME2021[[#All],[Insurance Category Code]],2, ACOAETME2021[[#All],[ACO/AE or Insurer Overall Organization ID]],B103),2)=ROUND(SUMIFS(ACOAETME2021[[#All],[TOTAL Non-Truncated Unadjusted Claims Expenses]], ACOAETME2021[[#All],[Insurance Category Code]],2, ACOAETME2021[[#All],[ACO/AE or Insurer Overall Organization ID]],B103), 2)</f>
        <v>1</v>
      </c>
      <c r="Q103" s="7">
        <v>999</v>
      </c>
      <c r="R103" s="194">
        <f>ROUND(SUMIFS(AgeSex22[[#All],[Total Member Months by Age/Sex Band]], AgeSex22[[#All],[ACO/AE ID or Insurer Overall]], $B103, AgeSex22[[#All], [Insurance Category Code]],2), 2)</f>
        <v>0</v>
      </c>
      <c r="S103" s="452">
        <f>ROUND(SUMIFS(AgeSex22[[#All],[Total Dollars Excluded from Spending After Applying Truncation at the Member Level]], AgeSex22[[#All],[ACO/AE ID or Insurer Overall]], $B103, AgeSex22[[#All], [Insurance Category Code]],2), 2)</f>
        <v>0</v>
      </c>
      <c r="T103" s="6">
        <f>ROUND(SUMIFS(AgeSex22[[#All],[Count of Members Whose Spending was Truncated]], AgeSex22[[#All],[ACO/AE ID or Insurer Overall]], $B103, AgeSex22[[#All], [Insurance Category Code]],2), 2)</f>
        <v>0</v>
      </c>
      <c r="U103" s="452">
        <f>ROUND(SUMIFS(AgeSex22[[#All],[Total Spending before Truncation is Applied]], AgeSex22[[#All],[ACO/AE ID or Insurer Overall]], $B103, AgeSex22[[#All], [Insurance Category Code]],2), 2)</f>
        <v>0</v>
      </c>
      <c r="V103" s="452">
        <f>ROUND(SUMIFS(AgeSex22[[#All],[Total Spending After Applying Truncation at the Member Level]], AgeSex22[[#All],[ACO/AE ID or Insurer Overall]], $B103, AgeSex22[[#All], [Insurance Category Code]],2), 2)</f>
        <v>0</v>
      </c>
      <c r="W103" s="457" t="str">
        <f>IF(R103=ROUND(SUMIFS(ACOAETME2022[[#All],[Member Months]], ACOAETME2022[[#All],[Insurance Category Code]],2, ACOAETME2022[[#All],[ACO/AE or Insurer Overall Organization ID]],Q103),2), "TRUE", ROUND(R103-SUMIFS(ACOAETME2022[[#All],[Member Months]], ACOAETME2022[[#All],[Insurance Category Code]],2, ACOAETME2022[[#All],[ACO/AE or Insurer Overall Organization ID]],Q103),2))</f>
        <v>TRUE</v>
      </c>
      <c r="X103" s="6" t="str">
        <f>IF(S103=ROUND(SUMIFS(ACOAETME2022[[#All],[Total Claims Excluded because of Truncation]], ACOAETME2022[[#All],[Insurance Category Code]],2, ACOAETME2022[[#All],[ACO/AE or Insurer Overall Organization ID]],Q103),2), "TRUE", ROUND(S103-SUMIFS(ACOAETME2022[[#All],[Total Claims Excluded because of Truncation]], ACOAETME2022[[#All],[Insurance Category Code]],2, ACOAETME2022[[#All],[ACO/AE or Insurer Overall Organization ID]],Q103),2))</f>
        <v>TRUE</v>
      </c>
      <c r="Y103" s="6" t="str">
        <f>IF(T103=ROUND(SUMIFS(ACOAETME2022[[#All],[Count of Members with Claims Truncated]], ACOAETME2022[[#All],[Insurance Category Code]],2, ACOAETME2022[[#All],[ACO/AE or Insurer Overall Organization ID]],Q103),2), "TRUE", ROUND(T103-SUMIFS(ACOAETME2022[[#All],[Count of Members with Claims Truncated]], ACOAETME2022[[#All],[Insurance Category Code]],2, ACOAETME2022[[#All],[ACO/AE or Insurer Overall Organization ID]],Q103),2))</f>
        <v>TRUE</v>
      </c>
      <c r="Z103" s="535" t="str">
        <f>IF(U103=ROUND(SUMIFS(ACOAETME2022[[#All],[TOTAL Non-Truncated Unadjusted Claims Expenses]], ACOAETME2022[[#All],[Insurance Category Code]],2, ACOAETME2022[[#All],[ACO/AE or Insurer Overall Organization ID]],Q103),2), "TRUE", ROUND(U103-SUMIFS(ACOAETME2022[[#All],[TOTAL Non-Truncated Unadjusted Claims Expenses]], ACOAETME2022[[#All],[Insurance Category Code]],2, ACOAETME2022[[#All],[ACO/AE or Insurer Overall Organization ID]],Q103),2))</f>
        <v>TRUE</v>
      </c>
      <c r="AA103" s="535" t="str">
        <f>IF(V103=ROUND(SUMIFS(ACOAETME2022[[#All],[TOTAL Truncated Unadjusted Claims Expenses (A19 - A17)]], ACOAETME2022[[#All],[Insurance Category Code]],2, ACOAETME2022[[#All],[ACO/AE or Insurer Overall Organization ID]],Q103),2), "TRUE", ROUND(V103-SUMIFS(ACOAETME2022[[#All],[TOTAL Truncated Unadjusted Claims Expenses (A19 - A17)]], ACOAETME2022[[#All],[Insurance Category Code]],2, ACOAETME2022[[#All],[ACO/AE or Insurer Overall Organization ID]],Q103),2))</f>
        <v>TRUE</v>
      </c>
      <c r="AB103" s="6" t="str">
        <f t="shared" si="15"/>
        <v>TRUE</v>
      </c>
      <c r="AC103" s="6" t="b">
        <f>ROUND(SUMIFS(ACOAETME2022[[#All],[TOTAL Non-Truncated Unadjusted Claims Expenses]], ACOAETME2022[[#All],[Insurance Category Code]],2, ACOAETME2022[[#All],[ACO/AE or Insurer Overall Organization ID]],Q103), 2)&gt;=ROUND(SUMIFS(ACOAETME2022[[#All],[TOTAL Truncated Unadjusted Claims Expenses (A19 - A17)]], ACOAETME2022[[#All],[Insurance Category Code]],2, ACOAETME2022[[#All],[ACO/AE or Insurer Overall Organization ID]],Q103),2)</f>
        <v>1</v>
      </c>
      <c r="AD103" s="6" t="b">
        <f>ROUND(SUMIFS(ACOAETME2022[[#All],[TOTAL Truncated Unadjusted Claims Expenses (A19 - A17)]], ACOAETME2022[[#All],[Insurance Category Code]],2, ACOAETME2022[[#All],[ACO/AE or Insurer Overall Organization ID]],Q103)+SUMIFS(ACOAETME2022[[#All],[Total Claims Excluded because of Truncation]], ACOAETME2022[[#All],[Insurance Category Code]],2, ACOAETME2022[[#All],[ACO/AE or Insurer Overall Organization ID]],Q103),2)=ROUND(SUMIFS(ACOAETME2022[[#All],[TOTAL Non-Truncated Unadjusted Claims Expenses]], ACOAETME2022[[#All],[Insurance Category Code]],2, ACOAETME2022[[#All],[ACO/AE or Insurer Overall Organization ID]],Q103), 2)</f>
        <v>1</v>
      </c>
      <c r="AG103" s="454" t="str">
        <f t="shared" si="16"/>
        <v>NA</v>
      </c>
    </row>
    <row r="104" spans="2:33" x14ac:dyDescent="0.35">
      <c r="B104" s="15"/>
      <c r="C104" s="12"/>
    </row>
    <row r="105" spans="2:33" ht="15" thickBot="1" x14ac:dyDescent="0.4">
      <c r="B105" s="15"/>
      <c r="C105" s="12"/>
    </row>
    <row r="106" spans="2:33" ht="24" thickBot="1" x14ac:dyDescent="0.6">
      <c r="B106" s="433" t="s">
        <v>708</v>
      </c>
      <c r="C106" s="594" t="s">
        <v>696</v>
      </c>
      <c r="D106" s="595"/>
      <c r="E106" s="595"/>
      <c r="F106" s="595"/>
      <c r="G106" s="596"/>
      <c r="H106" s="597" t="s">
        <v>697</v>
      </c>
      <c r="I106" s="598"/>
      <c r="J106" s="598"/>
      <c r="K106" s="598"/>
      <c r="L106" s="599"/>
      <c r="M106" s="591" t="s">
        <v>698</v>
      </c>
      <c r="N106" s="592"/>
      <c r="O106" s="593"/>
      <c r="R106" s="594" t="s">
        <v>711</v>
      </c>
      <c r="S106" s="595"/>
      <c r="T106" s="595"/>
      <c r="U106" s="595"/>
      <c r="V106" s="596"/>
      <c r="W106" s="597" t="s">
        <v>712</v>
      </c>
      <c r="X106" s="598"/>
      <c r="Y106" s="598"/>
      <c r="Z106" s="598"/>
      <c r="AA106" s="599"/>
      <c r="AB106" s="591" t="s">
        <v>698</v>
      </c>
      <c r="AC106" s="592"/>
      <c r="AD106" s="593"/>
    </row>
    <row r="107" spans="2:33" ht="87" x14ac:dyDescent="0.35">
      <c r="B107" s="434" t="s">
        <v>695</v>
      </c>
      <c r="C107" s="432" t="s">
        <v>228</v>
      </c>
      <c r="D107" s="424" t="s">
        <v>195</v>
      </c>
      <c r="E107" s="424" t="s">
        <v>699</v>
      </c>
      <c r="F107" s="424" t="s">
        <v>244</v>
      </c>
      <c r="G107" s="425" t="s">
        <v>194</v>
      </c>
      <c r="H107" s="426" t="s">
        <v>87</v>
      </c>
      <c r="I107" s="427" t="s">
        <v>700</v>
      </c>
      <c r="J107" s="427" t="s">
        <v>701</v>
      </c>
      <c r="K107" s="427" t="s">
        <v>702</v>
      </c>
      <c r="L107" s="428" t="s">
        <v>703</v>
      </c>
      <c r="M107" s="429" t="s">
        <v>704</v>
      </c>
      <c r="N107" s="430" t="s">
        <v>705</v>
      </c>
      <c r="O107" s="431" t="s">
        <v>706</v>
      </c>
      <c r="Q107" s="434" t="s">
        <v>695</v>
      </c>
      <c r="R107" s="432" t="s">
        <v>228</v>
      </c>
      <c r="S107" s="424" t="s">
        <v>195</v>
      </c>
      <c r="T107" s="424" t="s">
        <v>699</v>
      </c>
      <c r="U107" s="424" t="s">
        <v>244</v>
      </c>
      <c r="V107" s="425" t="s">
        <v>194</v>
      </c>
      <c r="W107" s="426" t="s">
        <v>87</v>
      </c>
      <c r="X107" s="427" t="s">
        <v>700</v>
      </c>
      <c r="Y107" s="427" t="s">
        <v>701</v>
      </c>
      <c r="Z107" s="427" t="s">
        <v>702</v>
      </c>
      <c r="AA107" s="428" t="s">
        <v>703</v>
      </c>
      <c r="AB107" s="429" t="s">
        <v>704</v>
      </c>
      <c r="AC107" s="430" t="s">
        <v>705</v>
      </c>
      <c r="AD107" s="431" t="s">
        <v>706</v>
      </c>
      <c r="AG107" s="484" t="s">
        <v>751</v>
      </c>
    </row>
    <row r="108" spans="2:33" x14ac:dyDescent="0.35">
      <c r="B108" s="115">
        <v>100</v>
      </c>
      <c r="C108" s="192">
        <f>ROUND(SUMIFS(AgeSex21[[#All],[Total Member Months by Age/Sex Band]], AgeSex21[[#All],[ACO/AE ID or Insurer Overall]], $B108, AgeSex21[[#All], [Insurance Category Code]],3), 2)</f>
        <v>0</v>
      </c>
      <c r="D108" s="452">
        <f>ROUND(SUMIFS(AgeSex21[[#All],[Total Dollars Excluded from Spending After Applying Truncation at the Member Level]], AgeSex21[[#All],[ACO/AE ID or Insurer Overall]], $B108, AgeSex21[[#All], [Insurance Category Code]],3), 2)</f>
        <v>0</v>
      </c>
      <c r="E108" s="6">
        <f>ROUND(SUMIFS(AgeSex21[[#All],[Count of Members Whose Spending was Truncated]], AgeSex21[[#All],[ACO/AE ID or Insurer Overall]], $B108, AgeSex21[[#All], [Insurance Category Code]],3), 2)</f>
        <v>0</v>
      </c>
      <c r="F108" s="452">
        <f>ROUND(SUMIFS(AgeSex21[[#All],[Total Spending before Truncation is Applied]], AgeSex21[[#All],[ACO/AE ID or Insurer Overall]], $B108, AgeSex21[[#All], [Insurance Category Code]],3), 2)</f>
        <v>0</v>
      </c>
      <c r="G108" s="452">
        <f>ROUND(SUMIFS(AgeSex21[[#All],[Total Spending After Applying Truncation at the Member Level]], AgeSex21[[#All],[ACO/AE ID or Insurer Overall]], $B108, AgeSex21[[#All], [Insurance Category Code]],3), 2)</f>
        <v>0</v>
      </c>
      <c r="H108" s="6" t="str">
        <f>IF(C108=ROUND(SUMIFS(ACOAETME2021[[#All],[Member Months]], ACOAETME2021[[#All],[Insurance Category Code]],3, ACOAETME2021[[#All],[ACO/AE or Insurer Overall Organization ID]],B108),2), "TRUE", ROUND(C108-SUMIFS(ACOAETME2021[[#All],[Member Months]], ACOAETME2021[[#All],[Insurance Category Code]],3, ACOAETME2021[[#All],[ACO/AE or Insurer Overall Organization ID]],B108),2))</f>
        <v>TRUE</v>
      </c>
      <c r="I108" s="6" t="str">
        <f>IF(D108=ROUND(SUMIFS(ACOAETME2021[[#All],[Total Claims Excluded because of Truncation]], ACOAETME2021[[#All],[Insurance Category Code]],3, ACOAETME2021[[#All],[ACO/AE or Insurer Overall Organization ID]],B108),2), "TRUE", ROUND(D108-SUMIFS(ACOAETME2021[[#All],[Total Claims Excluded because of Truncation]], ACOAETME2021[[#All],[Insurance Category Code]],3, ACOAETME2021[[#All],[ACO/AE or Insurer Overall Organization ID]],B108),2))</f>
        <v>TRUE</v>
      </c>
      <c r="J108" s="6" t="str">
        <f>IF(E108=ROUND(SUMIFS(ACOAETME2021[[#All],[Count of Members with Claims Truncated]], ACOAETME2021[[#All],[Insurance Category Code]],3, ACOAETME2021[[#All],[ACO/AE or Insurer Overall Organization ID]],B108),2), "TRUE", ROUND(E108-SUMIFS(ACOAETME2021[[#All],[Count of Members with Claims Truncated]], ACOAETME2021[[#All],[Insurance Category Code]],3, ACOAETME2021[[#All],[ACO/AE or Insurer Overall Organization ID]],B108),2))</f>
        <v>TRUE</v>
      </c>
      <c r="K108" s="535" t="str">
        <f>IF(F108=ROUND(SUMIFS(ACOAETME2021[[#All],[TOTAL Non-Truncated Unadjusted Claims Expenses]], ACOAETME2021[[#All],[Insurance Category Code]],3, ACOAETME2021[[#All],[ACO/AE or Insurer Overall Organization ID]],B108),2), "TRUE", ROUND(F108-SUMIFS(ACOAETME2021[[#All],[TOTAL Non-Truncated Unadjusted Claims Expenses]], ACOAETME2021[[#All],[Insurance Category Code]],3, ACOAETME2021[[#All],[ACO/AE or Insurer Overall Organization ID]],B108),2))</f>
        <v>TRUE</v>
      </c>
      <c r="L108" s="535" t="str">
        <f>IF(G108=ROUND(SUMIFS(ACOAETME2021[[#All],[TOTAL Truncated Unadjusted Claims Expenses (A19 - A17)]], ACOAETME2021[[#All],[Insurance Category Code]],3, ACOAETME2021[[#All],[ACO/AE or Insurer Overall Organization ID]],B108),2), "TRUE", ROUND(G108-SUMIFS(ACOAETME2021[[#All],[TOTAL Truncated Unadjusted Claims Expenses (A19 - A17)]], ACOAETME2021[[#All],[Insurance Category Code]],3, ACOAETME2021[[#All],[ACO/AE or Insurer Overall Organization ID]],B108),2))</f>
        <v>TRUE</v>
      </c>
      <c r="M108" s="6" t="str">
        <f t="shared" ref="M108" si="19">IF(E108=0, "TRUE",IF((C108/12)&gt;E108,"TRUE",(C108/12)-E108))</f>
        <v>TRUE</v>
      </c>
      <c r="N108" s="6" t="b">
        <f>ROUND(SUMIFS(ACOAETME2021[[#All],[TOTAL Non-Truncated Unadjusted Claims Expenses]], ACOAETME2021[[#All],[Insurance Category Code]],3, ACOAETME2021[[#All],[ACO/AE or Insurer Overall Organization ID]],B108), 2)&gt;=ROUND(SUMIFS(ACOAETME2021[[#All],[TOTAL Truncated Unadjusted Claims Expenses (A19 - A17)]], ACOAETME2021[[#All],[Insurance Category Code]],3, ACOAETME2021[[#All],[ACO/AE or Insurer Overall Organization ID]],B108),2)</f>
        <v>1</v>
      </c>
      <c r="O108" s="6" t="b">
        <f>ROUND(SUMIFS(ACOAETME2021[[#All],[TOTAL Truncated Unadjusted Claims Expenses (A19 - A17)]], ACOAETME2021[[#All],[Insurance Category Code]],3, ACOAETME2021[[#All],[ACO/AE or Insurer Overall Organization ID]],B108)+SUMIFS(ACOAETME2021[[#All],[Total Claims Excluded because of Truncation]], ACOAETME2021[[#All],[Insurance Category Code]],3, ACOAETME2021[[#All],[ACO/AE or Insurer Overall Organization ID]],B108),2)=ROUND(SUMIFS(ACOAETME2021[[#All],[TOTAL Non-Truncated Unadjusted Claims Expenses]], ACOAETME2021[[#All],[Insurance Category Code]],3, ACOAETME2021[[#All],[ACO/AE or Insurer Overall Organization ID]],B108), 2)</f>
        <v>1</v>
      </c>
      <c r="Q108" s="435">
        <v>100</v>
      </c>
      <c r="R108" s="194">
        <f>ROUND(SUMIFS(AgeSex22[[#All],[Total Member Months by Age/Sex Band]], AgeSex22[[#All],[ACO/AE ID or Insurer Overall]], $B108, AgeSex22[[#All], [Insurance Category Code]],3), 2)</f>
        <v>0</v>
      </c>
      <c r="S108" s="452">
        <f>ROUND(SUMIFS(AgeSex22[[#All],[Total Dollars Excluded from Spending After Applying Truncation at the Member Level]], AgeSex22[[#All],[ACO/AE ID or Insurer Overall]], $B108, AgeSex22[[#All], [Insurance Category Code]],3), 2)</f>
        <v>0</v>
      </c>
      <c r="T108" s="6">
        <f>ROUND(SUMIFS(AgeSex22[[#All],[Count of Members Whose Spending was Truncated]], AgeSex22[[#All],[ACO/AE ID or Insurer Overall]], $B108, AgeSex22[[#All], [Insurance Category Code]],3), 2)</f>
        <v>0</v>
      </c>
      <c r="U108" s="452">
        <f>ROUND(SUMIFS(AgeSex22[[#All],[Total Spending before Truncation is Applied]], AgeSex22[[#All],[ACO/AE ID or Insurer Overall]], $B108, AgeSex22[[#All], [Insurance Category Code]],3), 2)</f>
        <v>0</v>
      </c>
      <c r="V108" s="452">
        <f>ROUND(SUMIFS(AgeSex22[[#All],[Total Spending After Applying Truncation at the Member Level]], AgeSex22[[#All],[ACO/AE ID or Insurer Overall]], $B108, AgeSex22[[#All], [Insurance Category Code]],3), 2)</f>
        <v>0</v>
      </c>
      <c r="W108" s="457" t="str">
        <f>IF(R108=ROUND(SUMIFS(ACOAETME2022[[#All],[Member Months]], ACOAETME2022[[#All],[Insurance Category Code]],3, ACOAETME2022[[#All],[ACO/AE or Insurer Overall Organization ID]],Q108),2), "TRUE", ROUND(R108-SUMIFS(ACOAETME2022[[#All],[Member Months]], ACOAETME2022[[#All],[Insurance Category Code]],3, ACOAETME2022[[#All],[ACO/AE or Insurer Overall Organization ID]],Q108),2))</f>
        <v>TRUE</v>
      </c>
      <c r="X108" s="6" t="str">
        <f>IF(S108=ROUND(SUMIFS(ACOAETME2022[[#All],[Total Claims Excluded because of Truncation]], ACOAETME2022[[#All],[Insurance Category Code]],3, ACOAETME2022[[#All],[ACO/AE or Insurer Overall Organization ID]],Q108),2), "TRUE", ROUND(S108-SUMIFS(ACOAETME2022[[#All],[Total Claims Excluded because of Truncation]], ACOAETME2022[[#All],[Insurance Category Code]],3, ACOAETME2022[[#All],[ACO/AE or Insurer Overall Organization ID]],Q108),2))</f>
        <v>TRUE</v>
      </c>
      <c r="Y108" s="6" t="str">
        <f>IF(T108=ROUND(SUMIFS(ACOAETME2022[[#All],[Count of Members with Claims Truncated]], ACOAETME2022[[#All],[Insurance Category Code]],3, ACOAETME2022[[#All],[ACO/AE or Insurer Overall Organization ID]],Q108),2), "TRUE", ROUND(T108-SUMIFS(ACOAETME2022[[#All],[Count of Members with Claims Truncated]], ACOAETME2022[[#All],[Insurance Category Code]],3, ACOAETME2022[[#All],[ACO/AE or Insurer Overall Organization ID]],Q108),2))</f>
        <v>TRUE</v>
      </c>
      <c r="Z108" s="535" t="str">
        <f>IF(U108=ROUND(SUMIFS(ACOAETME2022[[#All],[TOTAL Non-Truncated Unadjusted Claims Expenses]], ACOAETME2022[[#All],[Insurance Category Code]],3, ACOAETME2022[[#All],[ACO/AE or Insurer Overall Organization ID]],Q108),2), "TRUE", ROUND(U108-SUMIFS(ACOAETME2022[[#All],[TOTAL Non-Truncated Unadjusted Claims Expenses]], ACOAETME2022[[#All],[Insurance Category Code]],3, ACOAETME2022[[#All],[ACO/AE or Insurer Overall Organization ID]],Q108),2))</f>
        <v>TRUE</v>
      </c>
      <c r="AA108" s="535" t="str">
        <f>IF(V108=ROUND(SUMIFS(ACOAETME2022[[#All],[TOTAL Truncated Unadjusted Claims Expenses (A19 - A17)]], ACOAETME2022[[#All],[Insurance Category Code]],3, ACOAETME2022[[#All],[ACO/AE or Insurer Overall Organization ID]],Q108),2), "TRUE", ROUND(V108-SUMIFS(ACOAETME2022[[#All],[TOTAL Truncated Unadjusted Claims Expenses (A19 - A17)]], ACOAETME2022[[#All],[Insurance Category Code]],3, ACOAETME2022[[#All],[ACO/AE or Insurer Overall Organization ID]],Q108),2))</f>
        <v>TRUE</v>
      </c>
      <c r="AB108" s="6" t="str">
        <f t="shared" ref="AB108:AB117" si="20">IF(T108=0, "TRUE",IF((R108/12)&gt;T108,"TRUE",(R108/12)-T108))</f>
        <v>TRUE</v>
      </c>
      <c r="AC108" s="6" t="b">
        <f>ROUND(SUMIFS(ACOAETME2022[[#All],[TOTAL Non-Truncated Unadjusted Claims Expenses]], ACOAETME2022[[#All],[Insurance Category Code]],3, ACOAETME2022[[#All],[ACO/AE or Insurer Overall Organization ID]],Q108), 2)&gt;=ROUND(SUMIFS(ACOAETME2022[[#All],[TOTAL Truncated Unadjusted Claims Expenses (A19 - A17)]], ACOAETME2022[[#All],[Insurance Category Code]],3, ACOAETME2022[[#All],[ACO/AE or Insurer Overall Organization ID]],Q108),2)</f>
        <v>1</v>
      </c>
      <c r="AD108" s="6" t="b">
        <f>ROUND(SUMIFS(ACOAETME2022[[#All],[TOTAL Truncated Unadjusted Claims Expenses (A19 - A17)]], ACOAETME2022[[#All],[Insurance Category Code]],3, ACOAETME2022[[#All],[ACO/AE or Insurer Overall Organization ID]],Q108)+SUMIFS(ACOAETME2022[[#All],[Total Claims Excluded because of Truncation]], ACOAETME2022[[#All],[Insurance Category Code]],3, ACOAETME2022[[#All],[ACO/AE or Insurer Overall Organization ID]],Q108),2)=ROUND(SUMIFS(ACOAETME2022[[#All],[TOTAL Non-Truncated Unadjusted Claims Expenses]], ACOAETME2022[[#All],[Insurance Category Code]],3, ACOAETME2022[[#All],[ACO/AE or Insurer Overall Organization ID]],Q108), 2)</f>
        <v>1</v>
      </c>
      <c r="AG108" s="454" t="str">
        <f t="shared" ref="AG108:AG117" si="21">IFERROR(R108/C108-1, "NA")</f>
        <v>NA</v>
      </c>
    </row>
    <row r="109" spans="2:33" x14ac:dyDescent="0.35">
      <c r="B109" s="115">
        <v>101</v>
      </c>
      <c r="C109" s="192">
        <f>ROUND(SUMIFS(AgeSex21[[#All],[Total Member Months by Age/Sex Band]], AgeSex21[[#All],[ACO/AE ID or Insurer Overall]], $B109, AgeSex21[[#All], [Insurance Category Code]],3), 2)</f>
        <v>0</v>
      </c>
      <c r="D109" s="452">
        <f>ROUND(SUMIFS(AgeSex21[[#All],[Total Dollars Excluded from Spending After Applying Truncation at the Member Level]], AgeSex21[[#All],[ACO/AE ID or Insurer Overall]], $B109, AgeSex21[[#All], [Insurance Category Code]],3), 2)</f>
        <v>0</v>
      </c>
      <c r="E109" s="6">
        <f>ROUND(SUMIFS(AgeSex21[[#All],[Count of Members Whose Spending was Truncated]], AgeSex21[[#All],[ACO/AE ID or Insurer Overall]], $B109, AgeSex21[[#All], [Insurance Category Code]],3), 2)</f>
        <v>0</v>
      </c>
      <c r="F109" s="452">
        <f>ROUND(SUMIFS(AgeSex21[[#All],[Total Spending before Truncation is Applied]], AgeSex21[[#All],[ACO/AE ID or Insurer Overall]], $B109, AgeSex21[[#All], [Insurance Category Code]],3), 2)</f>
        <v>0</v>
      </c>
      <c r="G109" s="452">
        <f>ROUND(SUMIFS(AgeSex21[[#All],[Total Spending After Applying Truncation at the Member Level]], AgeSex21[[#All],[ACO/AE ID or Insurer Overall]], $B109, AgeSex21[[#All], [Insurance Category Code]],3), 2)</f>
        <v>0</v>
      </c>
      <c r="H109" s="6" t="str">
        <f>IF(C109=ROUND(SUMIFS(ACOAETME2021[[#All],[Member Months]], ACOAETME2021[[#All],[Insurance Category Code]],3, ACOAETME2021[[#All],[ACO/AE or Insurer Overall Organization ID]],B109),2), "TRUE", ROUND(C109-SUMIFS(ACOAETME2021[[#All],[Member Months]], ACOAETME2021[[#All],[Insurance Category Code]],3, ACOAETME2021[[#All],[ACO/AE or Insurer Overall Organization ID]],B109),2))</f>
        <v>TRUE</v>
      </c>
      <c r="I109" s="6" t="str">
        <f>IF(D109=ROUND(SUMIFS(ACOAETME2021[[#All],[Total Claims Excluded because of Truncation]], ACOAETME2021[[#All],[Insurance Category Code]],3, ACOAETME2021[[#All],[ACO/AE or Insurer Overall Organization ID]],B109),2), "TRUE", ROUND(D109-SUMIFS(ACOAETME2021[[#All],[Total Claims Excluded because of Truncation]], ACOAETME2021[[#All],[Insurance Category Code]],3, ACOAETME2021[[#All],[ACO/AE or Insurer Overall Organization ID]],B109),2))</f>
        <v>TRUE</v>
      </c>
      <c r="J109" s="6" t="str">
        <f>IF(E109=ROUND(SUMIFS(ACOAETME2021[[#All],[Count of Members with Claims Truncated]], ACOAETME2021[[#All],[Insurance Category Code]],3, ACOAETME2021[[#All],[ACO/AE or Insurer Overall Organization ID]],B109),2), "TRUE", ROUND(E109-SUMIFS(ACOAETME2021[[#All],[Count of Members with Claims Truncated]], ACOAETME2021[[#All],[Insurance Category Code]],3, ACOAETME2021[[#All],[ACO/AE or Insurer Overall Organization ID]],B109),2))</f>
        <v>TRUE</v>
      </c>
      <c r="K109" s="6" t="str">
        <f>IF(F109=ROUND(SUMIFS(ACOAETME2021[[#All],[TOTAL Non-Truncated Unadjusted Claims Expenses]], ACOAETME2021[[#All],[Insurance Category Code]],3, ACOAETME2021[[#All],[ACO/AE or Insurer Overall Organization ID]],B109),2), "TRUE", ROUND(F109-SUMIFS(ACOAETME2021[[#All],[TOTAL Non-Truncated Unadjusted Claims Expenses]], ACOAETME2021[[#All],[Insurance Category Code]],3, ACOAETME2021[[#All],[ACO/AE or Insurer Overall Organization ID]],B109),2))</f>
        <v>TRUE</v>
      </c>
      <c r="L109" s="6" t="str">
        <f>IF(G109=ROUND(SUMIFS(ACOAETME2021[[#All],[TOTAL Truncated Unadjusted Claims Expenses (A19 - A17)]], ACOAETME2021[[#All],[Insurance Category Code]],3, ACOAETME2021[[#All],[ACO/AE or Insurer Overall Organization ID]],B109),2), "TRUE", ROUND(G109-SUMIFS(ACOAETME2021[[#All],[TOTAL Truncated Unadjusted Claims Expenses (A19 - A17)]], ACOAETME2021[[#All],[Insurance Category Code]],3, ACOAETME2021[[#All],[ACO/AE or Insurer Overall Organization ID]],B109),2))</f>
        <v>TRUE</v>
      </c>
      <c r="M109" s="6" t="str">
        <f t="shared" ref="M109:M116" si="22">IF(E109=0, "TRUE",IF((C109/12)&gt;E109,"TRUE",(C109/12)-E109))</f>
        <v>TRUE</v>
      </c>
      <c r="N109" s="6" t="b">
        <f>ROUND(SUMIFS(ACOAETME2021[[#All],[TOTAL Non-Truncated Unadjusted Claims Expenses]], ACOAETME2021[[#All],[Insurance Category Code]],3, ACOAETME2021[[#All],[ACO/AE or Insurer Overall Organization ID]],B109), 2)&gt;=ROUND(SUMIFS(ACOAETME2021[[#All],[TOTAL Truncated Unadjusted Claims Expenses (A19 - A17)]], ACOAETME2021[[#All],[Insurance Category Code]],3, ACOAETME2021[[#All],[ACO/AE or Insurer Overall Organization ID]],B109),2)</f>
        <v>1</v>
      </c>
      <c r="O109" s="6" t="b">
        <f>ROUND(SUMIFS(ACOAETME2021[[#All],[TOTAL Truncated Unadjusted Claims Expenses (A19 - A17)]], ACOAETME2021[[#All],[Insurance Category Code]],3, ACOAETME2021[[#All],[ACO/AE or Insurer Overall Organization ID]],B109)+SUMIFS(ACOAETME2021[[#All],[Total Claims Excluded because of Truncation]], ACOAETME2021[[#All],[Insurance Category Code]],3, ACOAETME2021[[#All],[ACO/AE or Insurer Overall Organization ID]],B109),2)=ROUND(SUMIFS(ACOAETME2021[[#All],[TOTAL Non-Truncated Unadjusted Claims Expenses]], ACOAETME2021[[#All],[Insurance Category Code]],3, ACOAETME2021[[#All],[ACO/AE or Insurer Overall Organization ID]],B109), 2)</f>
        <v>1</v>
      </c>
      <c r="Q109" s="435">
        <v>101</v>
      </c>
      <c r="R109" s="194">
        <f>ROUND(SUMIFS(AgeSex22[[#All],[Total Member Months by Age/Sex Band]], AgeSex22[[#All],[ACO/AE ID or Insurer Overall]], $B109, AgeSex22[[#All], [Insurance Category Code]],3), 2)</f>
        <v>0</v>
      </c>
      <c r="S109" s="452">
        <f>ROUND(SUMIFS(AgeSex22[[#All],[Total Dollars Excluded from Spending After Applying Truncation at the Member Level]], AgeSex22[[#All],[ACO/AE ID or Insurer Overall]], $B109, AgeSex22[[#All], [Insurance Category Code]],3), 2)</f>
        <v>0</v>
      </c>
      <c r="T109" s="6">
        <f>ROUND(SUMIFS(AgeSex22[[#All],[Count of Members Whose Spending was Truncated]], AgeSex22[[#All],[ACO/AE ID or Insurer Overall]], $B109, AgeSex22[[#All], [Insurance Category Code]],3), 2)</f>
        <v>0</v>
      </c>
      <c r="U109" s="452">
        <f>ROUND(SUMIFS(AgeSex22[[#All],[Total Spending before Truncation is Applied]], AgeSex22[[#All],[ACO/AE ID or Insurer Overall]], $B109, AgeSex22[[#All], [Insurance Category Code]],3), 2)</f>
        <v>0</v>
      </c>
      <c r="V109" s="452">
        <f>ROUND(SUMIFS(AgeSex22[[#All],[Total Spending After Applying Truncation at the Member Level]], AgeSex22[[#All],[ACO/AE ID or Insurer Overall]], $B109, AgeSex22[[#All], [Insurance Category Code]],3), 2)</f>
        <v>0</v>
      </c>
      <c r="W109" s="457" t="str">
        <f>IF(R109=ROUND(SUMIFS(ACOAETME2022[[#All],[Member Months]], ACOAETME2022[[#All],[Insurance Category Code]],3, ACOAETME2022[[#All],[ACO/AE or Insurer Overall Organization ID]],Q109),2), "TRUE", ROUND(R109-SUMIFS(ACOAETME2022[[#All],[Member Months]], ACOAETME2022[[#All],[Insurance Category Code]],3, ACOAETME2022[[#All],[ACO/AE or Insurer Overall Organization ID]],Q109),2))</f>
        <v>TRUE</v>
      </c>
      <c r="X109" s="6" t="str">
        <f>IF(S109=ROUND(SUMIFS(ACOAETME2022[[#All],[Total Claims Excluded because of Truncation]], ACOAETME2022[[#All],[Insurance Category Code]],3, ACOAETME2022[[#All],[ACO/AE or Insurer Overall Organization ID]],Q109),2), "TRUE", ROUND(S109-SUMIFS(ACOAETME2022[[#All],[Total Claims Excluded because of Truncation]], ACOAETME2022[[#All],[Insurance Category Code]],3, ACOAETME2022[[#All],[ACO/AE or Insurer Overall Organization ID]],Q109),2))</f>
        <v>TRUE</v>
      </c>
      <c r="Y109" s="6" t="str">
        <f>IF(T109=ROUND(SUMIFS(ACOAETME2022[[#All],[Count of Members with Claims Truncated]], ACOAETME2022[[#All],[Insurance Category Code]],3, ACOAETME2022[[#All],[ACO/AE or Insurer Overall Organization ID]],Q109),2), "TRUE", ROUND(T109-SUMIFS(ACOAETME2022[[#All],[Count of Members with Claims Truncated]], ACOAETME2022[[#All],[Insurance Category Code]],3, ACOAETME2022[[#All],[ACO/AE or Insurer Overall Organization ID]],Q109),2))</f>
        <v>TRUE</v>
      </c>
      <c r="Z109" s="6" t="str">
        <f>IF(U109=ROUND(SUMIFS(ACOAETME2022[[#All],[TOTAL Non-Truncated Unadjusted Claims Expenses]], ACOAETME2022[[#All],[Insurance Category Code]],3, ACOAETME2022[[#All],[ACO/AE or Insurer Overall Organization ID]],Q109),2), "TRUE", ROUND(U109-SUMIFS(ACOAETME2022[[#All],[TOTAL Non-Truncated Unadjusted Claims Expenses]], ACOAETME2022[[#All],[Insurance Category Code]],3, ACOAETME2022[[#All],[ACO/AE or Insurer Overall Organization ID]],Q109),2))</f>
        <v>TRUE</v>
      </c>
      <c r="AA109" s="6" t="str">
        <f>IF(V109=ROUND(SUMIFS(ACOAETME2022[[#All],[TOTAL Truncated Unadjusted Claims Expenses (A19 - A17)]], ACOAETME2022[[#All],[Insurance Category Code]],3, ACOAETME2022[[#All],[ACO/AE or Insurer Overall Organization ID]],Q109),2), "TRUE", ROUND(V109-SUMIFS(ACOAETME2022[[#All],[TOTAL Truncated Unadjusted Claims Expenses (A19 - A17)]], ACOAETME2022[[#All],[Insurance Category Code]],3, ACOAETME2022[[#All],[ACO/AE or Insurer Overall Organization ID]],Q109),2))</f>
        <v>TRUE</v>
      </c>
      <c r="AB109" s="6" t="str">
        <f t="shared" si="20"/>
        <v>TRUE</v>
      </c>
      <c r="AC109" s="6" t="b">
        <f>ROUND(SUMIFS(ACOAETME2022[[#All],[TOTAL Non-Truncated Unadjusted Claims Expenses]], ACOAETME2022[[#All],[Insurance Category Code]],3, ACOAETME2022[[#All],[ACO/AE or Insurer Overall Organization ID]],Q109), 2)&gt;=ROUND(SUMIFS(ACOAETME2022[[#All],[TOTAL Truncated Unadjusted Claims Expenses (A19 - A17)]], ACOAETME2022[[#All],[Insurance Category Code]],3, ACOAETME2022[[#All],[ACO/AE or Insurer Overall Organization ID]],Q109),2)</f>
        <v>1</v>
      </c>
      <c r="AD109" s="6" t="b">
        <f>ROUND(SUMIFS(ACOAETME2022[[#All],[TOTAL Truncated Unadjusted Claims Expenses (A19 - A17)]], ACOAETME2022[[#All],[Insurance Category Code]],3, ACOAETME2022[[#All],[ACO/AE or Insurer Overall Organization ID]],Q109)+SUMIFS(ACOAETME2022[[#All],[Total Claims Excluded because of Truncation]], ACOAETME2022[[#All],[Insurance Category Code]],3, ACOAETME2022[[#All],[ACO/AE or Insurer Overall Organization ID]],Q109),2)=ROUND(SUMIFS(ACOAETME2022[[#All],[TOTAL Non-Truncated Unadjusted Claims Expenses]], ACOAETME2022[[#All],[Insurance Category Code]],3, ACOAETME2022[[#All],[ACO/AE or Insurer Overall Organization ID]],Q109), 2)</f>
        <v>1</v>
      </c>
      <c r="AG109" s="454" t="str">
        <f t="shared" si="21"/>
        <v>NA</v>
      </c>
    </row>
    <row r="110" spans="2:33" x14ac:dyDescent="0.35">
      <c r="B110" s="115">
        <v>102</v>
      </c>
      <c r="C110" s="192">
        <f>ROUND(SUMIFS(AgeSex21[[#All],[Total Member Months by Age/Sex Band]], AgeSex21[[#All],[ACO/AE ID or Insurer Overall]], $B110, AgeSex21[[#All], [Insurance Category Code]],3), 2)</f>
        <v>0</v>
      </c>
      <c r="D110" s="452">
        <f>ROUND(SUMIFS(AgeSex21[[#All],[Total Dollars Excluded from Spending After Applying Truncation at the Member Level]], AgeSex21[[#All],[ACO/AE ID or Insurer Overall]], $B110, AgeSex21[[#All], [Insurance Category Code]],3), 2)</f>
        <v>0</v>
      </c>
      <c r="E110" s="6">
        <f>ROUND(SUMIFS(AgeSex21[[#All],[Count of Members Whose Spending was Truncated]], AgeSex21[[#All],[ACO/AE ID or Insurer Overall]], $B110, AgeSex21[[#All], [Insurance Category Code]],3), 2)</f>
        <v>0</v>
      </c>
      <c r="F110" s="452">
        <f>ROUND(SUMIFS(AgeSex21[[#All],[Total Spending before Truncation is Applied]], AgeSex21[[#All],[ACO/AE ID or Insurer Overall]], $B110, AgeSex21[[#All], [Insurance Category Code]],3), 2)</f>
        <v>0</v>
      </c>
      <c r="G110" s="452">
        <f>ROUND(SUMIFS(AgeSex21[[#All],[Total Spending After Applying Truncation at the Member Level]], AgeSex21[[#All],[ACO/AE ID or Insurer Overall]], $B110, AgeSex21[[#All], [Insurance Category Code]],3), 2)</f>
        <v>0</v>
      </c>
      <c r="H110" s="6" t="str">
        <f>IF(C110=ROUND(SUMIFS(ACOAETME2021[[#All],[Member Months]], ACOAETME2021[[#All],[Insurance Category Code]],3, ACOAETME2021[[#All],[ACO/AE or Insurer Overall Organization ID]],B110),2), "TRUE", ROUND(C110-SUMIFS(ACOAETME2021[[#All],[Member Months]], ACOAETME2021[[#All],[Insurance Category Code]],3, ACOAETME2021[[#All],[ACO/AE or Insurer Overall Organization ID]],B110),2))</f>
        <v>TRUE</v>
      </c>
      <c r="I110" s="6" t="str">
        <f>IF(D110=ROUND(SUMIFS(ACOAETME2021[[#All],[Total Claims Excluded because of Truncation]], ACOAETME2021[[#All],[Insurance Category Code]],3, ACOAETME2021[[#All],[ACO/AE or Insurer Overall Organization ID]],B110),2), "TRUE", ROUND(D110-SUMIFS(ACOAETME2021[[#All],[Total Claims Excluded because of Truncation]], ACOAETME2021[[#All],[Insurance Category Code]],3, ACOAETME2021[[#All],[ACO/AE or Insurer Overall Organization ID]],B110),2))</f>
        <v>TRUE</v>
      </c>
      <c r="J110" s="6" t="str">
        <f>IF(E110=ROUND(SUMIFS(ACOAETME2021[[#All],[Count of Members with Claims Truncated]], ACOAETME2021[[#All],[Insurance Category Code]],3, ACOAETME2021[[#All],[ACO/AE or Insurer Overall Organization ID]],B110),2), "TRUE", ROUND(E110-SUMIFS(ACOAETME2021[[#All],[Count of Members with Claims Truncated]], ACOAETME2021[[#All],[Insurance Category Code]],3, ACOAETME2021[[#All],[ACO/AE or Insurer Overall Organization ID]],B110),2))</f>
        <v>TRUE</v>
      </c>
      <c r="K110" s="6" t="str">
        <f>IF(F110=ROUND(SUMIFS(ACOAETME2021[[#All],[TOTAL Non-Truncated Unadjusted Claims Expenses]], ACOAETME2021[[#All],[Insurance Category Code]],3, ACOAETME2021[[#All],[ACO/AE or Insurer Overall Organization ID]],B110),2), "TRUE", ROUND(F110-SUMIFS(ACOAETME2021[[#All],[TOTAL Non-Truncated Unadjusted Claims Expenses]], ACOAETME2021[[#All],[Insurance Category Code]],3, ACOAETME2021[[#All],[ACO/AE or Insurer Overall Organization ID]],B110),2))</f>
        <v>TRUE</v>
      </c>
      <c r="L110" s="6" t="str">
        <f>IF(G110=ROUND(SUMIFS(ACOAETME2021[[#All],[TOTAL Truncated Unadjusted Claims Expenses (A19 - A17)]], ACOAETME2021[[#All],[Insurance Category Code]],3, ACOAETME2021[[#All],[ACO/AE or Insurer Overall Organization ID]],B110),2), "TRUE", ROUND(G110-SUMIFS(ACOAETME2021[[#All],[TOTAL Truncated Unadjusted Claims Expenses (A19 - A17)]], ACOAETME2021[[#All],[Insurance Category Code]],3, ACOAETME2021[[#All],[ACO/AE or Insurer Overall Organization ID]],B110),2))</f>
        <v>TRUE</v>
      </c>
      <c r="M110" s="6" t="str">
        <f t="shared" si="22"/>
        <v>TRUE</v>
      </c>
      <c r="N110" s="6" t="b">
        <f>ROUND(SUMIFS(ACOAETME2021[[#All],[TOTAL Non-Truncated Unadjusted Claims Expenses]], ACOAETME2021[[#All],[Insurance Category Code]],3, ACOAETME2021[[#All],[ACO/AE or Insurer Overall Organization ID]],B110), 2)&gt;=ROUND(SUMIFS(ACOAETME2021[[#All],[TOTAL Truncated Unadjusted Claims Expenses (A19 - A17)]], ACOAETME2021[[#All],[Insurance Category Code]],3, ACOAETME2021[[#All],[ACO/AE or Insurer Overall Organization ID]],B110),2)</f>
        <v>1</v>
      </c>
      <c r="O110" s="6" t="b">
        <f>ROUND(SUMIFS(ACOAETME2021[[#All],[TOTAL Truncated Unadjusted Claims Expenses (A19 - A17)]], ACOAETME2021[[#All],[Insurance Category Code]],3, ACOAETME2021[[#All],[ACO/AE or Insurer Overall Organization ID]],B110)+SUMIFS(ACOAETME2021[[#All],[Total Claims Excluded because of Truncation]], ACOAETME2021[[#All],[Insurance Category Code]],3, ACOAETME2021[[#All],[ACO/AE or Insurer Overall Organization ID]],B110),2)=ROUND(SUMIFS(ACOAETME2021[[#All],[TOTAL Non-Truncated Unadjusted Claims Expenses]], ACOAETME2021[[#All],[Insurance Category Code]],3, ACOAETME2021[[#All],[ACO/AE or Insurer Overall Organization ID]],B110), 2)</f>
        <v>1</v>
      </c>
      <c r="Q110" s="435">
        <v>102</v>
      </c>
      <c r="R110" s="194">
        <f>ROUND(SUMIFS(AgeSex22[[#All],[Total Member Months by Age/Sex Band]], AgeSex22[[#All],[ACO/AE ID or Insurer Overall]], $B110, AgeSex22[[#All], [Insurance Category Code]],3), 2)</f>
        <v>0</v>
      </c>
      <c r="S110" s="452">
        <f>ROUND(SUMIFS(AgeSex22[[#All],[Total Dollars Excluded from Spending After Applying Truncation at the Member Level]], AgeSex22[[#All],[ACO/AE ID or Insurer Overall]], $B110, AgeSex22[[#All], [Insurance Category Code]],3), 2)</f>
        <v>0</v>
      </c>
      <c r="T110" s="6">
        <f>ROUND(SUMIFS(AgeSex22[[#All],[Count of Members Whose Spending was Truncated]], AgeSex22[[#All],[ACO/AE ID or Insurer Overall]], $B110, AgeSex22[[#All], [Insurance Category Code]],3), 2)</f>
        <v>0</v>
      </c>
      <c r="U110" s="452">
        <f>ROUND(SUMIFS(AgeSex22[[#All],[Total Spending before Truncation is Applied]], AgeSex22[[#All],[ACO/AE ID or Insurer Overall]], $B110, AgeSex22[[#All], [Insurance Category Code]],3), 2)</f>
        <v>0</v>
      </c>
      <c r="V110" s="452">
        <f>ROUND(SUMIFS(AgeSex22[[#All],[Total Spending After Applying Truncation at the Member Level]], AgeSex22[[#All],[ACO/AE ID or Insurer Overall]], $B110, AgeSex22[[#All], [Insurance Category Code]],3), 2)</f>
        <v>0</v>
      </c>
      <c r="W110" s="457" t="str">
        <f>IF(R110=ROUND(SUMIFS(ACOAETME2022[[#All],[Member Months]], ACOAETME2022[[#All],[Insurance Category Code]],3, ACOAETME2022[[#All],[ACO/AE or Insurer Overall Organization ID]],Q110),2), "TRUE", ROUND(R110-SUMIFS(ACOAETME2022[[#All],[Member Months]], ACOAETME2022[[#All],[Insurance Category Code]],3, ACOAETME2022[[#All],[ACO/AE or Insurer Overall Organization ID]],Q110),2))</f>
        <v>TRUE</v>
      </c>
      <c r="X110" s="6" t="str">
        <f>IF(S110=ROUND(SUMIFS(ACOAETME2022[[#All],[Total Claims Excluded because of Truncation]], ACOAETME2022[[#All],[Insurance Category Code]],3, ACOAETME2022[[#All],[ACO/AE or Insurer Overall Organization ID]],Q110),2), "TRUE", ROUND(S110-SUMIFS(ACOAETME2022[[#All],[Total Claims Excluded because of Truncation]], ACOAETME2022[[#All],[Insurance Category Code]],3, ACOAETME2022[[#All],[ACO/AE or Insurer Overall Organization ID]],Q110),2))</f>
        <v>TRUE</v>
      </c>
      <c r="Y110" s="6" t="str">
        <f>IF(T110=ROUND(SUMIFS(ACOAETME2022[[#All],[Count of Members with Claims Truncated]], ACOAETME2022[[#All],[Insurance Category Code]],3, ACOAETME2022[[#All],[ACO/AE or Insurer Overall Organization ID]],Q110),2), "TRUE", ROUND(T110-SUMIFS(ACOAETME2022[[#All],[Count of Members with Claims Truncated]], ACOAETME2022[[#All],[Insurance Category Code]],3, ACOAETME2022[[#All],[ACO/AE or Insurer Overall Organization ID]],Q110),2))</f>
        <v>TRUE</v>
      </c>
      <c r="Z110" s="6" t="str">
        <f>IF(U110=ROUND(SUMIFS(ACOAETME2022[[#All],[TOTAL Non-Truncated Unadjusted Claims Expenses]], ACOAETME2022[[#All],[Insurance Category Code]],3, ACOAETME2022[[#All],[ACO/AE or Insurer Overall Organization ID]],Q110),2), "TRUE", ROUND(U110-SUMIFS(ACOAETME2022[[#All],[TOTAL Non-Truncated Unadjusted Claims Expenses]], ACOAETME2022[[#All],[Insurance Category Code]],3, ACOAETME2022[[#All],[ACO/AE or Insurer Overall Organization ID]],Q110),2))</f>
        <v>TRUE</v>
      </c>
      <c r="AA110" s="6" t="str">
        <f>IF(V110=ROUND(SUMIFS(ACOAETME2022[[#All],[TOTAL Truncated Unadjusted Claims Expenses (A19 - A17)]], ACOAETME2022[[#All],[Insurance Category Code]],3, ACOAETME2022[[#All],[ACO/AE or Insurer Overall Organization ID]],Q110),2), "TRUE", ROUND(V110-SUMIFS(ACOAETME2022[[#All],[TOTAL Truncated Unadjusted Claims Expenses (A19 - A17)]], ACOAETME2022[[#All],[Insurance Category Code]],3, ACOAETME2022[[#All],[ACO/AE or Insurer Overall Organization ID]],Q110),2))</f>
        <v>TRUE</v>
      </c>
      <c r="AB110" s="6" t="str">
        <f t="shared" si="20"/>
        <v>TRUE</v>
      </c>
      <c r="AC110" s="6" t="b">
        <f>ROUND(SUMIFS(ACOAETME2022[[#All],[TOTAL Non-Truncated Unadjusted Claims Expenses]], ACOAETME2022[[#All],[Insurance Category Code]],3, ACOAETME2022[[#All],[ACO/AE or Insurer Overall Organization ID]],Q110), 2)&gt;=ROUND(SUMIFS(ACOAETME2022[[#All],[TOTAL Truncated Unadjusted Claims Expenses (A19 - A17)]], ACOAETME2022[[#All],[Insurance Category Code]],3, ACOAETME2022[[#All],[ACO/AE or Insurer Overall Organization ID]],Q110),2)</f>
        <v>1</v>
      </c>
      <c r="AD110" s="6" t="b">
        <f>ROUND(SUMIFS(ACOAETME2022[[#All],[TOTAL Truncated Unadjusted Claims Expenses (A19 - A17)]], ACOAETME2022[[#All],[Insurance Category Code]],3, ACOAETME2022[[#All],[ACO/AE or Insurer Overall Organization ID]],Q110)+SUMIFS(ACOAETME2022[[#All],[Total Claims Excluded because of Truncation]], ACOAETME2022[[#All],[Insurance Category Code]],3, ACOAETME2022[[#All],[ACO/AE or Insurer Overall Organization ID]],Q110),2)=ROUND(SUMIFS(ACOAETME2022[[#All],[TOTAL Non-Truncated Unadjusted Claims Expenses]], ACOAETME2022[[#All],[Insurance Category Code]],3, ACOAETME2022[[#All],[ACO/AE or Insurer Overall Organization ID]],Q110), 2)</f>
        <v>1</v>
      </c>
      <c r="AG110" s="454" t="str">
        <f t="shared" si="21"/>
        <v>NA</v>
      </c>
    </row>
    <row r="111" spans="2:33" x14ac:dyDescent="0.35">
      <c r="B111" s="115">
        <v>103</v>
      </c>
      <c r="C111" s="192">
        <f>ROUND(SUMIFS(AgeSex21[[#All],[Total Member Months by Age/Sex Band]], AgeSex21[[#All],[ACO/AE ID or Insurer Overall]], $B111, AgeSex21[[#All], [Insurance Category Code]],3), 2)</f>
        <v>0</v>
      </c>
      <c r="D111" s="452">
        <f>ROUND(SUMIFS(AgeSex21[[#All],[Total Dollars Excluded from Spending After Applying Truncation at the Member Level]], AgeSex21[[#All],[ACO/AE ID or Insurer Overall]], $B111, AgeSex21[[#All], [Insurance Category Code]],3), 2)</f>
        <v>0</v>
      </c>
      <c r="E111" s="6">
        <f>ROUND(SUMIFS(AgeSex21[[#All],[Count of Members Whose Spending was Truncated]], AgeSex21[[#All],[ACO/AE ID or Insurer Overall]], $B111, AgeSex21[[#All], [Insurance Category Code]],3), 2)</f>
        <v>0</v>
      </c>
      <c r="F111" s="452">
        <f>ROUND(SUMIFS(AgeSex21[[#All],[Total Spending before Truncation is Applied]], AgeSex21[[#All],[ACO/AE ID or Insurer Overall]], $B111, AgeSex21[[#All], [Insurance Category Code]],3), 2)</f>
        <v>0</v>
      </c>
      <c r="G111" s="452">
        <f>ROUND(SUMIFS(AgeSex21[[#All],[Total Spending After Applying Truncation at the Member Level]], AgeSex21[[#All],[ACO/AE ID or Insurer Overall]], $B111, AgeSex21[[#All], [Insurance Category Code]],3), 2)</f>
        <v>0</v>
      </c>
      <c r="H111" s="6" t="str">
        <f>IF(C111=ROUND(SUMIFS(ACOAETME2021[[#All],[Member Months]], ACOAETME2021[[#All],[Insurance Category Code]],3, ACOAETME2021[[#All],[ACO/AE or Insurer Overall Organization ID]],B111),2), "TRUE", ROUND(C111-SUMIFS(ACOAETME2021[[#All],[Member Months]], ACOAETME2021[[#All],[Insurance Category Code]],3, ACOAETME2021[[#All],[ACO/AE or Insurer Overall Organization ID]],B111),2))</f>
        <v>TRUE</v>
      </c>
      <c r="I111" s="6" t="str">
        <f>IF(D111=ROUND(SUMIFS(ACOAETME2021[[#All],[Total Claims Excluded because of Truncation]], ACOAETME2021[[#All],[Insurance Category Code]],3, ACOAETME2021[[#All],[ACO/AE or Insurer Overall Organization ID]],B111),2), "TRUE", ROUND(D111-SUMIFS(ACOAETME2021[[#All],[Total Claims Excluded because of Truncation]], ACOAETME2021[[#All],[Insurance Category Code]],3, ACOAETME2021[[#All],[ACO/AE or Insurer Overall Organization ID]],B111),2))</f>
        <v>TRUE</v>
      </c>
      <c r="J111" s="6" t="str">
        <f>IF(E111=ROUND(SUMIFS(ACOAETME2021[[#All],[Count of Members with Claims Truncated]], ACOAETME2021[[#All],[Insurance Category Code]],3, ACOAETME2021[[#All],[ACO/AE or Insurer Overall Organization ID]],B111),2), "TRUE", ROUND(E111-SUMIFS(ACOAETME2021[[#All],[Count of Members with Claims Truncated]], ACOAETME2021[[#All],[Insurance Category Code]],3, ACOAETME2021[[#All],[ACO/AE or Insurer Overall Organization ID]],B111),2))</f>
        <v>TRUE</v>
      </c>
      <c r="K111" s="6" t="str">
        <f>IF(F111=ROUND(SUMIFS(ACOAETME2021[[#All],[TOTAL Non-Truncated Unadjusted Claims Expenses]], ACOAETME2021[[#All],[Insurance Category Code]],3, ACOAETME2021[[#All],[ACO/AE or Insurer Overall Organization ID]],B111),2), "TRUE", ROUND(F111-SUMIFS(ACOAETME2021[[#All],[TOTAL Non-Truncated Unadjusted Claims Expenses]], ACOAETME2021[[#All],[Insurance Category Code]],3, ACOAETME2021[[#All],[ACO/AE or Insurer Overall Organization ID]],B111),2))</f>
        <v>TRUE</v>
      </c>
      <c r="L111" s="6" t="str">
        <f>IF(G111=ROUND(SUMIFS(ACOAETME2021[[#All],[TOTAL Truncated Unadjusted Claims Expenses (A19 - A17)]], ACOAETME2021[[#All],[Insurance Category Code]],3, ACOAETME2021[[#All],[ACO/AE or Insurer Overall Organization ID]],B111),2), "TRUE", ROUND(G111-SUMIFS(ACOAETME2021[[#All],[TOTAL Truncated Unadjusted Claims Expenses (A19 - A17)]], ACOAETME2021[[#All],[Insurance Category Code]],3, ACOAETME2021[[#All],[ACO/AE or Insurer Overall Organization ID]],B111),2))</f>
        <v>TRUE</v>
      </c>
      <c r="M111" s="6" t="str">
        <f t="shared" si="22"/>
        <v>TRUE</v>
      </c>
      <c r="N111" s="6" t="b">
        <f>ROUND(SUMIFS(ACOAETME2021[[#All],[TOTAL Non-Truncated Unadjusted Claims Expenses]], ACOAETME2021[[#All],[Insurance Category Code]],3, ACOAETME2021[[#All],[ACO/AE or Insurer Overall Organization ID]],B111), 2)&gt;=ROUND(SUMIFS(ACOAETME2021[[#All],[TOTAL Truncated Unadjusted Claims Expenses (A19 - A17)]], ACOAETME2021[[#All],[Insurance Category Code]],3, ACOAETME2021[[#All],[ACO/AE or Insurer Overall Organization ID]],B111),2)</f>
        <v>1</v>
      </c>
      <c r="O111" s="6" t="b">
        <f>ROUND(SUMIFS(ACOAETME2021[[#All],[TOTAL Truncated Unadjusted Claims Expenses (A19 - A17)]], ACOAETME2021[[#All],[Insurance Category Code]],3, ACOAETME2021[[#All],[ACO/AE or Insurer Overall Organization ID]],B111)+SUMIFS(ACOAETME2021[[#All],[Total Claims Excluded because of Truncation]], ACOAETME2021[[#All],[Insurance Category Code]],3, ACOAETME2021[[#All],[ACO/AE or Insurer Overall Organization ID]],B111),2)=ROUND(SUMIFS(ACOAETME2021[[#All],[TOTAL Non-Truncated Unadjusted Claims Expenses]], ACOAETME2021[[#All],[Insurance Category Code]],3, ACOAETME2021[[#All],[ACO/AE or Insurer Overall Organization ID]],B111), 2)</f>
        <v>1</v>
      </c>
      <c r="Q111" s="435">
        <v>103</v>
      </c>
      <c r="R111" s="194">
        <f>ROUND(SUMIFS(AgeSex22[[#All],[Total Member Months by Age/Sex Band]], AgeSex22[[#All],[ACO/AE ID or Insurer Overall]], $B111, AgeSex22[[#All], [Insurance Category Code]],3), 2)</f>
        <v>0</v>
      </c>
      <c r="S111" s="452">
        <f>ROUND(SUMIFS(AgeSex22[[#All],[Total Dollars Excluded from Spending After Applying Truncation at the Member Level]], AgeSex22[[#All],[ACO/AE ID or Insurer Overall]], $B111, AgeSex22[[#All], [Insurance Category Code]],3), 2)</f>
        <v>0</v>
      </c>
      <c r="T111" s="6">
        <f>ROUND(SUMIFS(AgeSex22[[#All],[Count of Members Whose Spending was Truncated]], AgeSex22[[#All],[ACO/AE ID or Insurer Overall]], $B111, AgeSex22[[#All], [Insurance Category Code]],3), 2)</f>
        <v>0</v>
      </c>
      <c r="U111" s="452">
        <f>ROUND(SUMIFS(AgeSex22[[#All],[Total Spending before Truncation is Applied]], AgeSex22[[#All],[ACO/AE ID or Insurer Overall]], $B111, AgeSex22[[#All], [Insurance Category Code]],3), 2)</f>
        <v>0</v>
      </c>
      <c r="V111" s="452">
        <f>ROUND(SUMIFS(AgeSex22[[#All],[Total Spending After Applying Truncation at the Member Level]], AgeSex22[[#All],[ACO/AE ID or Insurer Overall]], $B111, AgeSex22[[#All], [Insurance Category Code]],3), 2)</f>
        <v>0</v>
      </c>
      <c r="W111" s="457" t="str">
        <f>IF(R111=ROUND(SUMIFS(ACOAETME2022[[#All],[Member Months]], ACOAETME2022[[#All],[Insurance Category Code]],3, ACOAETME2022[[#All],[ACO/AE or Insurer Overall Organization ID]],Q111),2), "TRUE", ROUND(R111-SUMIFS(ACOAETME2022[[#All],[Member Months]], ACOAETME2022[[#All],[Insurance Category Code]],3, ACOAETME2022[[#All],[ACO/AE or Insurer Overall Organization ID]],Q111),2))</f>
        <v>TRUE</v>
      </c>
      <c r="X111" s="6" t="str">
        <f>IF(S111=ROUND(SUMIFS(ACOAETME2022[[#All],[Total Claims Excluded because of Truncation]], ACOAETME2022[[#All],[Insurance Category Code]],3, ACOAETME2022[[#All],[ACO/AE or Insurer Overall Organization ID]],Q111),2), "TRUE", ROUND(S111-SUMIFS(ACOAETME2022[[#All],[Total Claims Excluded because of Truncation]], ACOAETME2022[[#All],[Insurance Category Code]],3, ACOAETME2022[[#All],[ACO/AE or Insurer Overall Organization ID]],Q111),2))</f>
        <v>TRUE</v>
      </c>
      <c r="Y111" s="6" t="str">
        <f>IF(T111=ROUND(SUMIFS(ACOAETME2022[[#All],[Count of Members with Claims Truncated]], ACOAETME2022[[#All],[Insurance Category Code]],3, ACOAETME2022[[#All],[ACO/AE or Insurer Overall Organization ID]],Q111),2), "TRUE", ROUND(T111-SUMIFS(ACOAETME2022[[#All],[Count of Members with Claims Truncated]], ACOAETME2022[[#All],[Insurance Category Code]],3, ACOAETME2022[[#All],[ACO/AE or Insurer Overall Organization ID]],Q111),2))</f>
        <v>TRUE</v>
      </c>
      <c r="Z111" s="6" t="str">
        <f>IF(U111=ROUND(SUMIFS(ACOAETME2022[[#All],[TOTAL Non-Truncated Unadjusted Claims Expenses]], ACOAETME2022[[#All],[Insurance Category Code]],3, ACOAETME2022[[#All],[ACO/AE or Insurer Overall Organization ID]],Q111),2), "TRUE", ROUND(U111-SUMIFS(ACOAETME2022[[#All],[TOTAL Non-Truncated Unadjusted Claims Expenses]], ACOAETME2022[[#All],[Insurance Category Code]],3, ACOAETME2022[[#All],[ACO/AE or Insurer Overall Organization ID]],Q111),2))</f>
        <v>TRUE</v>
      </c>
      <c r="AA111" s="6" t="str">
        <f>IF(V111=ROUND(SUMIFS(ACOAETME2022[[#All],[TOTAL Truncated Unadjusted Claims Expenses (A19 - A17)]], ACOAETME2022[[#All],[Insurance Category Code]],3, ACOAETME2022[[#All],[ACO/AE or Insurer Overall Organization ID]],Q111),2), "TRUE", ROUND(V111-SUMIFS(ACOAETME2022[[#All],[TOTAL Truncated Unadjusted Claims Expenses (A19 - A17)]], ACOAETME2022[[#All],[Insurance Category Code]],3, ACOAETME2022[[#All],[ACO/AE or Insurer Overall Organization ID]],Q111),2))</f>
        <v>TRUE</v>
      </c>
      <c r="AB111" s="6" t="str">
        <f t="shared" si="20"/>
        <v>TRUE</v>
      </c>
      <c r="AC111" s="6" t="b">
        <f>ROUND(SUMIFS(ACOAETME2022[[#All],[TOTAL Non-Truncated Unadjusted Claims Expenses]], ACOAETME2022[[#All],[Insurance Category Code]],3, ACOAETME2022[[#All],[ACO/AE or Insurer Overall Organization ID]],Q111), 2)&gt;=ROUND(SUMIFS(ACOAETME2022[[#All],[TOTAL Truncated Unadjusted Claims Expenses (A19 - A17)]], ACOAETME2022[[#All],[Insurance Category Code]],3, ACOAETME2022[[#All],[ACO/AE or Insurer Overall Organization ID]],Q111),2)</f>
        <v>1</v>
      </c>
      <c r="AD111" s="6" t="b">
        <f>ROUND(SUMIFS(ACOAETME2022[[#All],[TOTAL Truncated Unadjusted Claims Expenses (A19 - A17)]], ACOAETME2022[[#All],[Insurance Category Code]],3, ACOAETME2022[[#All],[ACO/AE or Insurer Overall Organization ID]],Q111)+SUMIFS(ACOAETME2022[[#All],[Total Claims Excluded because of Truncation]], ACOAETME2022[[#All],[Insurance Category Code]],3, ACOAETME2022[[#All],[ACO/AE or Insurer Overall Organization ID]],Q111),2)=ROUND(SUMIFS(ACOAETME2022[[#All],[TOTAL Non-Truncated Unadjusted Claims Expenses]], ACOAETME2022[[#All],[Insurance Category Code]],3, ACOAETME2022[[#All],[ACO/AE or Insurer Overall Organization ID]],Q111), 2)</f>
        <v>1</v>
      </c>
      <c r="AG111" s="454" t="str">
        <f t="shared" si="21"/>
        <v>NA</v>
      </c>
    </row>
    <row r="112" spans="2:33" x14ac:dyDescent="0.35">
      <c r="B112" s="115">
        <v>104</v>
      </c>
      <c r="C112" s="192">
        <f>ROUND(SUMIFS(AgeSex21[[#All],[Total Member Months by Age/Sex Band]], AgeSex21[[#All],[ACO/AE ID or Insurer Overall]], $B112, AgeSex21[[#All], [Insurance Category Code]],3), 2)</f>
        <v>0</v>
      </c>
      <c r="D112" s="452">
        <f>ROUND(SUMIFS(AgeSex21[[#All],[Total Dollars Excluded from Spending After Applying Truncation at the Member Level]], AgeSex21[[#All],[ACO/AE ID or Insurer Overall]], $B112, AgeSex21[[#All], [Insurance Category Code]],3), 2)</f>
        <v>0</v>
      </c>
      <c r="E112" s="6">
        <f>ROUND(SUMIFS(AgeSex21[[#All],[Count of Members Whose Spending was Truncated]], AgeSex21[[#All],[ACO/AE ID or Insurer Overall]], $B112, AgeSex21[[#All], [Insurance Category Code]],3), 2)</f>
        <v>0</v>
      </c>
      <c r="F112" s="452">
        <f>ROUND(SUMIFS(AgeSex21[[#All],[Total Spending before Truncation is Applied]], AgeSex21[[#All],[ACO/AE ID or Insurer Overall]], $B112, AgeSex21[[#All], [Insurance Category Code]],3), 2)</f>
        <v>0</v>
      </c>
      <c r="G112" s="452">
        <f>ROUND(SUMIFS(AgeSex21[[#All],[Total Spending After Applying Truncation at the Member Level]], AgeSex21[[#All],[ACO/AE ID or Insurer Overall]], $B112, AgeSex21[[#All], [Insurance Category Code]],3), 2)</f>
        <v>0</v>
      </c>
      <c r="H112" s="6" t="str">
        <f>IF(C112=ROUND(SUMIFS(ACOAETME2021[[#All],[Member Months]], ACOAETME2021[[#All],[Insurance Category Code]],3, ACOAETME2021[[#All],[ACO/AE or Insurer Overall Organization ID]],B112),2), "TRUE", ROUND(C112-SUMIFS(ACOAETME2021[[#All],[Member Months]], ACOAETME2021[[#All],[Insurance Category Code]],3, ACOAETME2021[[#All],[ACO/AE or Insurer Overall Organization ID]],B112),2))</f>
        <v>TRUE</v>
      </c>
      <c r="I112" s="6" t="str">
        <f>IF(D112=ROUND(SUMIFS(ACOAETME2021[[#All],[Total Claims Excluded because of Truncation]], ACOAETME2021[[#All],[Insurance Category Code]],3, ACOAETME2021[[#All],[ACO/AE or Insurer Overall Organization ID]],B112),2), "TRUE", ROUND(D112-SUMIFS(ACOAETME2021[[#All],[Total Claims Excluded because of Truncation]], ACOAETME2021[[#All],[Insurance Category Code]],3, ACOAETME2021[[#All],[ACO/AE or Insurer Overall Organization ID]],B112),2))</f>
        <v>TRUE</v>
      </c>
      <c r="J112" s="6" t="str">
        <f>IF(E112=ROUND(SUMIFS(ACOAETME2021[[#All],[Count of Members with Claims Truncated]], ACOAETME2021[[#All],[Insurance Category Code]],3, ACOAETME2021[[#All],[ACO/AE or Insurer Overall Organization ID]],B112),2), "TRUE", ROUND(E112-SUMIFS(ACOAETME2021[[#All],[Count of Members with Claims Truncated]], ACOAETME2021[[#All],[Insurance Category Code]],3, ACOAETME2021[[#All],[ACO/AE or Insurer Overall Organization ID]],B112),2))</f>
        <v>TRUE</v>
      </c>
      <c r="K112" s="6" t="str">
        <f>IF(F112=ROUND(SUMIFS(ACOAETME2021[[#All],[TOTAL Non-Truncated Unadjusted Claims Expenses]], ACOAETME2021[[#All],[Insurance Category Code]],3, ACOAETME2021[[#All],[ACO/AE or Insurer Overall Organization ID]],B112),2), "TRUE", ROUND(F112-SUMIFS(ACOAETME2021[[#All],[TOTAL Non-Truncated Unadjusted Claims Expenses]], ACOAETME2021[[#All],[Insurance Category Code]],3, ACOAETME2021[[#All],[ACO/AE or Insurer Overall Organization ID]],B112),2))</f>
        <v>TRUE</v>
      </c>
      <c r="L112" s="6" t="str">
        <f>IF(G112=ROUND(SUMIFS(ACOAETME2021[[#All],[TOTAL Truncated Unadjusted Claims Expenses (A19 - A17)]], ACOAETME2021[[#All],[Insurance Category Code]],3, ACOAETME2021[[#All],[ACO/AE or Insurer Overall Organization ID]],B112),2), "TRUE", ROUND(G112-SUMIFS(ACOAETME2021[[#All],[TOTAL Truncated Unadjusted Claims Expenses (A19 - A17)]], ACOAETME2021[[#All],[Insurance Category Code]],3, ACOAETME2021[[#All],[ACO/AE or Insurer Overall Organization ID]],B112),2))</f>
        <v>TRUE</v>
      </c>
      <c r="M112" s="6" t="str">
        <f t="shared" si="22"/>
        <v>TRUE</v>
      </c>
      <c r="N112" s="6" t="b">
        <f>ROUND(SUMIFS(ACOAETME2021[[#All],[TOTAL Non-Truncated Unadjusted Claims Expenses]], ACOAETME2021[[#All],[Insurance Category Code]],3, ACOAETME2021[[#All],[ACO/AE or Insurer Overall Organization ID]],B112), 2)&gt;=ROUND(SUMIFS(ACOAETME2021[[#All],[TOTAL Truncated Unadjusted Claims Expenses (A19 - A17)]], ACOAETME2021[[#All],[Insurance Category Code]],3, ACOAETME2021[[#All],[ACO/AE or Insurer Overall Organization ID]],B112),2)</f>
        <v>1</v>
      </c>
      <c r="O112" s="6" t="b">
        <f>ROUND(SUMIFS(ACOAETME2021[[#All],[TOTAL Truncated Unadjusted Claims Expenses (A19 - A17)]], ACOAETME2021[[#All],[Insurance Category Code]],3, ACOAETME2021[[#All],[ACO/AE or Insurer Overall Organization ID]],B112)+SUMIFS(ACOAETME2021[[#All],[Total Claims Excluded because of Truncation]], ACOAETME2021[[#All],[Insurance Category Code]],3, ACOAETME2021[[#All],[ACO/AE or Insurer Overall Organization ID]],B112),2)=ROUND(SUMIFS(ACOAETME2021[[#All],[TOTAL Non-Truncated Unadjusted Claims Expenses]], ACOAETME2021[[#All],[Insurance Category Code]],3, ACOAETME2021[[#All],[ACO/AE or Insurer Overall Organization ID]],B112), 2)</f>
        <v>1</v>
      </c>
      <c r="Q112" s="435">
        <v>104</v>
      </c>
      <c r="R112" s="194">
        <f>ROUND(SUMIFS(AgeSex22[[#All],[Total Member Months by Age/Sex Band]], AgeSex22[[#All],[ACO/AE ID or Insurer Overall]], $B112, AgeSex22[[#All], [Insurance Category Code]],3), 2)</f>
        <v>0</v>
      </c>
      <c r="S112" s="452">
        <f>ROUND(SUMIFS(AgeSex22[[#All],[Total Dollars Excluded from Spending After Applying Truncation at the Member Level]], AgeSex22[[#All],[ACO/AE ID or Insurer Overall]], $B112, AgeSex22[[#All], [Insurance Category Code]],3), 2)</f>
        <v>0</v>
      </c>
      <c r="T112" s="6">
        <f>ROUND(SUMIFS(AgeSex22[[#All],[Count of Members Whose Spending was Truncated]], AgeSex22[[#All],[ACO/AE ID or Insurer Overall]], $B112, AgeSex22[[#All], [Insurance Category Code]],3), 2)</f>
        <v>0</v>
      </c>
      <c r="U112" s="452">
        <f>ROUND(SUMIFS(AgeSex22[[#All],[Total Spending before Truncation is Applied]], AgeSex22[[#All],[ACO/AE ID or Insurer Overall]], $B112, AgeSex22[[#All], [Insurance Category Code]],3), 2)</f>
        <v>0</v>
      </c>
      <c r="V112" s="452">
        <f>ROUND(SUMIFS(AgeSex22[[#All],[Total Spending After Applying Truncation at the Member Level]], AgeSex22[[#All],[ACO/AE ID or Insurer Overall]], $B112, AgeSex22[[#All], [Insurance Category Code]],3), 2)</f>
        <v>0</v>
      </c>
      <c r="W112" s="457" t="str">
        <f>IF(R112=ROUND(SUMIFS(ACOAETME2022[[#All],[Member Months]], ACOAETME2022[[#All],[Insurance Category Code]],3, ACOAETME2022[[#All],[ACO/AE or Insurer Overall Organization ID]],Q112),2), "TRUE", ROUND(R112-SUMIFS(ACOAETME2022[[#All],[Member Months]], ACOAETME2022[[#All],[Insurance Category Code]],3, ACOAETME2022[[#All],[ACO/AE or Insurer Overall Organization ID]],Q112),2))</f>
        <v>TRUE</v>
      </c>
      <c r="X112" s="6" t="str">
        <f>IF(S112=ROUND(SUMIFS(ACOAETME2022[[#All],[Total Claims Excluded because of Truncation]], ACOAETME2022[[#All],[Insurance Category Code]],3, ACOAETME2022[[#All],[ACO/AE or Insurer Overall Organization ID]],Q112),2), "TRUE", ROUND(S112-SUMIFS(ACOAETME2022[[#All],[Total Claims Excluded because of Truncation]], ACOAETME2022[[#All],[Insurance Category Code]],3, ACOAETME2022[[#All],[ACO/AE or Insurer Overall Organization ID]],Q112),2))</f>
        <v>TRUE</v>
      </c>
      <c r="Y112" s="6" t="str">
        <f>IF(T112=ROUND(SUMIFS(ACOAETME2022[[#All],[Count of Members with Claims Truncated]], ACOAETME2022[[#All],[Insurance Category Code]],3, ACOAETME2022[[#All],[ACO/AE or Insurer Overall Organization ID]],Q112),2), "TRUE", ROUND(T112-SUMIFS(ACOAETME2022[[#All],[Count of Members with Claims Truncated]], ACOAETME2022[[#All],[Insurance Category Code]],3, ACOAETME2022[[#All],[ACO/AE or Insurer Overall Organization ID]],Q112),2))</f>
        <v>TRUE</v>
      </c>
      <c r="Z112" s="6" t="str">
        <f>IF(U112=ROUND(SUMIFS(ACOAETME2022[[#All],[TOTAL Non-Truncated Unadjusted Claims Expenses]], ACOAETME2022[[#All],[Insurance Category Code]],3, ACOAETME2022[[#All],[ACO/AE or Insurer Overall Organization ID]],Q112),2), "TRUE", ROUND(U112-SUMIFS(ACOAETME2022[[#All],[TOTAL Non-Truncated Unadjusted Claims Expenses]], ACOAETME2022[[#All],[Insurance Category Code]],3, ACOAETME2022[[#All],[ACO/AE or Insurer Overall Organization ID]],Q112),2))</f>
        <v>TRUE</v>
      </c>
      <c r="AA112" s="6" t="str">
        <f>IF(V112=ROUND(SUMIFS(ACOAETME2022[[#All],[TOTAL Truncated Unadjusted Claims Expenses (A19 - A17)]], ACOAETME2022[[#All],[Insurance Category Code]],3, ACOAETME2022[[#All],[ACO/AE or Insurer Overall Organization ID]],Q112),2), "TRUE", ROUND(V112-SUMIFS(ACOAETME2022[[#All],[TOTAL Truncated Unadjusted Claims Expenses (A19 - A17)]], ACOAETME2022[[#All],[Insurance Category Code]],3, ACOAETME2022[[#All],[ACO/AE or Insurer Overall Organization ID]],Q112),2))</f>
        <v>TRUE</v>
      </c>
      <c r="AB112" s="6" t="str">
        <f t="shared" si="20"/>
        <v>TRUE</v>
      </c>
      <c r="AC112" s="6" t="b">
        <f>ROUND(SUMIFS(ACOAETME2022[[#All],[TOTAL Non-Truncated Unadjusted Claims Expenses]], ACOAETME2022[[#All],[Insurance Category Code]],3, ACOAETME2022[[#All],[ACO/AE or Insurer Overall Organization ID]],Q112), 2)&gt;=ROUND(SUMIFS(ACOAETME2022[[#All],[TOTAL Truncated Unadjusted Claims Expenses (A19 - A17)]], ACOAETME2022[[#All],[Insurance Category Code]],3, ACOAETME2022[[#All],[ACO/AE or Insurer Overall Organization ID]],Q112),2)</f>
        <v>1</v>
      </c>
      <c r="AD112" s="6" t="b">
        <f>ROUND(SUMIFS(ACOAETME2022[[#All],[TOTAL Truncated Unadjusted Claims Expenses (A19 - A17)]], ACOAETME2022[[#All],[Insurance Category Code]],3, ACOAETME2022[[#All],[ACO/AE or Insurer Overall Organization ID]],Q112)+SUMIFS(ACOAETME2022[[#All],[Total Claims Excluded because of Truncation]], ACOAETME2022[[#All],[Insurance Category Code]],3, ACOAETME2022[[#All],[ACO/AE or Insurer Overall Organization ID]],Q112),2)=ROUND(SUMIFS(ACOAETME2022[[#All],[TOTAL Non-Truncated Unadjusted Claims Expenses]], ACOAETME2022[[#All],[Insurance Category Code]],3, ACOAETME2022[[#All],[ACO/AE or Insurer Overall Organization ID]],Q112), 2)</f>
        <v>1</v>
      </c>
      <c r="AG112" s="454" t="str">
        <f t="shared" si="21"/>
        <v>NA</v>
      </c>
    </row>
    <row r="113" spans="2:33" x14ac:dyDescent="0.35">
      <c r="B113" s="115">
        <v>105</v>
      </c>
      <c r="C113" s="192">
        <f>ROUND(SUMIFS(AgeSex21[[#All],[Total Member Months by Age/Sex Band]], AgeSex21[[#All],[ACO/AE ID or Insurer Overall]], $B113, AgeSex21[[#All], [Insurance Category Code]],3), 2)</f>
        <v>0</v>
      </c>
      <c r="D113" s="452">
        <f>ROUND(SUMIFS(AgeSex21[[#All],[Total Dollars Excluded from Spending After Applying Truncation at the Member Level]], AgeSex21[[#All],[ACO/AE ID or Insurer Overall]], $B113, AgeSex21[[#All], [Insurance Category Code]],3), 2)</f>
        <v>0</v>
      </c>
      <c r="E113" s="6">
        <f>ROUND(SUMIFS(AgeSex21[[#All],[Count of Members Whose Spending was Truncated]], AgeSex21[[#All],[ACO/AE ID or Insurer Overall]], $B113, AgeSex21[[#All], [Insurance Category Code]],3), 2)</f>
        <v>0</v>
      </c>
      <c r="F113" s="452">
        <f>ROUND(SUMIFS(AgeSex21[[#All],[Total Spending before Truncation is Applied]], AgeSex21[[#All],[ACO/AE ID or Insurer Overall]], $B113, AgeSex21[[#All], [Insurance Category Code]],3), 2)</f>
        <v>0</v>
      </c>
      <c r="G113" s="452">
        <f>ROUND(SUMIFS(AgeSex21[[#All],[Total Spending After Applying Truncation at the Member Level]], AgeSex21[[#All],[ACO/AE ID or Insurer Overall]], $B113, AgeSex21[[#All], [Insurance Category Code]],3), 2)</f>
        <v>0</v>
      </c>
      <c r="H113" s="6" t="str">
        <f>IF(C113=ROUND(SUMIFS(ACOAETME2021[[#All],[Member Months]], ACOAETME2021[[#All],[Insurance Category Code]],3, ACOAETME2021[[#All],[ACO/AE or Insurer Overall Organization ID]],B113),2), "TRUE", ROUND(C113-SUMIFS(ACOAETME2021[[#All],[Member Months]], ACOAETME2021[[#All],[Insurance Category Code]],3, ACOAETME2021[[#All],[ACO/AE or Insurer Overall Organization ID]],B113),2))</f>
        <v>TRUE</v>
      </c>
      <c r="I113" s="6" t="str">
        <f>IF(D113=ROUND(SUMIFS(ACOAETME2021[[#All],[Total Claims Excluded because of Truncation]], ACOAETME2021[[#All],[Insurance Category Code]],3, ACOAETME2021[[#All],[ACO/AE or Insurer Overall Organization ID]],B113),2), "TRUE", ROUND(D113-SUMIFS(ACOAETME2021[[#All],[Total Claims Excluded because of Truncation]], ACOAETME2021[[#All],[Insurance Category Code]],3, ACOAETME2021[[#All],[ACO/AE or Insurer Overall Organization ID]],B113),2))</f>
        <v>TRUE</v>
      </c>
      <c r="J113" s="6" t="str">
        <f>IF(E113=ROUND(SUMIFS(ACOAETME2021[[#All],[Count of Members with Claims Truncated]], ACOAETME2021[[#All],[Insurance Category Code]],3, ACOAETME2021[[#All],[ACO/AE or Insurer Overall Organization ID]],B113),2), "TRUE", ROUND(E113-SUMIFS(ACOAETME2021[[#All],[Count of Members with Claims Truncated]], ACOAETME2021[[#All],[Insurance Category Code]],3, ACOAETME2021[[#All],[ACO/AE or Insurer Overall Organization ID]],B113),2))</f>
        <v>TRUE</v>
      </c>
      <c r="K113" s="6" t="str">
        <f>IF(F113=ROUND(SUMIFS(ACOAETME2021[[#All],[TOTAL Non-Truncated Unadjusted Claims Expenses]], ACOAETME2021[[#All],[Insurance Category Code]],3, ACOAETME2021[[#All],[ACO/AE or Insurer Overall Organization ID]],B113),2), "TRUE", ROUND(F113-SUMIFS(ACOAETME2021[[#All],[TOTAL Non-Truncated Unadjusted Claims Expenses]], ACOAETME2021[[#All],[Insurance Category Code]],3, ACOAETME2021[[#All],[ACO/AE or Insurer Overall Organization ID]],B113),2))</f>
        <v>TRUE</v>
      </c>
      <c r="L113" s="6" t="str">
        <f>IF(G113=ROUND(SUMIFS(ACOAETME2021[[#All],[TOTAL Truncated Unadjusted Claims Expenses (A19 - A17)]], ACOAETME2021[[#All],[Insurance Category Code]],3, ACOAETME2021[[#All],[ACO/AE or Insurer Overall Organization ID]],B113),2), "TRUE", ROUND(G113-SUMIFS(ACOAETME2021[[#All],[TOTAL Truncated Unadjusted Claims Expenses (A19 - A17)]], ACOAETME2021[[#All],[Insurance Category Code]],3, ACOAETME2021[[#All],[ACO/AE or Insurer Overall Organization ID]],B113),2))</f>
        <v>TRUE</v>
      </c>
      <c r="M113" s="6" t="str">
        <f t="shared" si="22"/>
        <v>TRUE</v>
      </c>
      <c r="N113" s="6" t="b">
        <f>ROUND(SUMIFS(ACOAETME2021[[#All],[TOTAL Non-Truncated Unadjusted Claims Expenses]], ACOAETME2021[[#All],[Insurance Category Code]],3, ACOAETME2021[[#All],[ACO/AE or Insurer Overall Organization ID]],B113), 2)&gt;=ROUND(SUMIFS(ACOAETME2021[[#All],[TOTAL Truncated Unadjusted Claims Expenses (A19 - A17)]], ACOAETME2021[[#All],[Insurance Category Code]],3, ACOAETME2021[[#All],[ACO/AE or Insurer Overall Organization ID]],B113),2)</f>
        <v>1</v>
      </c>
      <c r="O113" s="6" t="b">
        <f>ROUND(SUMIFS(ACOAETME2021[[#All],[TOTAL Truncated Unadjusted Claims Expenses (A19 - A17)]], ACOAETME2021[[#All],[Insurance Category Code]],3, ACOAETME2021[[#All],[ACO/AE or Insurer Overall Organization ID]],B113)+SUMIFS(ACOAETME2021[[#All],[Total Claims Excluded because of Truncation]], ACOAETME2021[[#All],[Insurance Category Code]],3, ACOAETME2021[[#All],[ACO/AE or Insurer Overall Organization ID]],B113),2)=ROUND(SUMIFS(ACOAETME2021[[#All],[TOTAL Non-Truncated Unadjusted Claims Expenses]], ACOAETME2021[[#All],[Insurance Category Code]],3, ACOAETME2021[[#All],[ACO/AE or Insurer Overall Organization ID]],B113), 2)</f>
        <v>1</v>
      </c>
      <c r="Q113" s="435">
        <v>105</v>
      </c>
      <c r="R113" s="194">
        <f>ROUND(SUMIFS(AgeSex22[[#All],[Total Member Months by Age/Sex Band]], AgeSex22[[#All],[ACO/AE ID or Insurer Overall]], $B113, AgeSex22[[#All], [Insurance Category Code]],3), 2)</f>
        <v>0</v>
      </c>
      <c r="S113" s="452">
        <f>ROUND(SUMIFS(AgeSex22[[#All],[Total Dollars Excluded from Spending After Applying Truncation at the Member Level]], AgeSex22[[#All],[ACO/AE ID or Insurer Overall]], $B113, AgeSex22[[#All], [Insurance Category Code]],3), 2)</f>
        <v>0</v>
      </c>
      <c r="T113" s="6">
        <f>ROUND(SUMIFS(AgeSex22[[#All],[Count of Members Whose Spending was Truncated]], AgeSex22[[#All],[ACO/AE ID or Insurer Overall]], $B113, AgeSex22[[#All], [Insurance Category Code]],3), 2)</f>
        <v>0</v>
      </c>
      <c r="U113" s="452">
        <f>ROUND(SUMIFS(AgeSex22[[#All],[Total Spending before Truncation is Applied]], AgeSex22[[#All],[ACO/AE ID or Insurer Overall]], $B113, AgeSex22[[#All], [Insurance Category Code]],3), 2)</f>
        <v>0</v>
      </c>
      <c r="V113" s="452">
        <f>ROUND(SUMIFS(AgeSex22[[#All],[Total Spending After Applying Truncation at the Member Level]], AgeSex22[[#All],[ACO/AE ID or Insurer Overall]], $B113, AgeSex22[[#All], [Insurance Category Code]],3), 2)</f>
        <v>0</v>
      </c>
      <c r="W113" s="457" t="str">
        <f>IF(R113=ROUND(SUMIFS(ACOAETME2022[[#All],[Member Months]], ACOAETME2022[[#All],[Insurance Category Code]],3, ACOAETME2022[[#All],[ACO/AE or Insurer Overall Organization ID]],Q113),2), "TRUE", ROUND(R113-SUMIFS(ACOAETME2022[[#All],[Member Months]], ACOAETME2022[[#All],[Insurance Category Code]],3, ACOAETME2022[[#All],[ACO/AE or Insurer Overall Organization ID]],Q113),2))</f>
        <v>TRUE</v>
      </c>
      <c r="X113" s="6" t="str">
        <f>IF(S113=ROUND(SUMIFS(ACOAETME2022[[#All],[Total Claims Excluded because of Truncation]], ACOAETME2022[[#All],[Insurance Category Code]],3, ACOAETME2022[[#All],[ACO/AE or Insurer Overall Organization ID]],Q113),2), "TRUE", ROUND(S113-SUMIFS(ACOAETME2022[[#All],[Total Claims Excluded because of Truncation]], ACOAETME2022[[#All],[Insurance Category Code]],3, ACOAETME2022[[#All],[ACO/AE or Insurer Overall Organization ID]],Q113),2))</f>
        <v>TRUE</v>
      </c>
      <c r="Y113" s="6" t="str">
        <f>IF(T113=ROUND(SUMIFS(ACOAETME2022[[#All],[Count of Members with Claims Truncated]], ACOAETME2022[[#All],[Insurance Category Code]],3, ACOAETME2022[[#All],[ACO/AE or Insurer Overall Organization ID]],Q113),2), "TRUE", ROUND(T113-SUMIFS(ACOAETME2022[[#All],[Count of Members with Claims Truncated]], ACOAETME2022[[#All],[Insurance Category Code]],3, ACOAETME2022[[#All],[ACO/AE or Insurer Overall Organization ID]],Q113),2))</f>
        <v>TRUE</v>
      </c>
      <c r="Z113" s="6" t="str">
        <f>IF(U113=ROUND(SUMIFS(ACOAETME2022[[#All],[TOTAL Non-Truncated Unadjusted Claims Expenses]], ACOAETME2022[[#All],[Insurance Category Code]],3, ACOAETME2022[[#All],[ACO/AE or Insurer Overall Organization ID]],Q113),2), "TRUE", ROUND(U113-SUMIFS(ACOAETME2022[[#All],[TOTAL Non-Truncated Unadjusted Claims Expenses]], ACOAETME2022[[#All],[Insurance Category Code]],3, ACOAETME2022[[#All],[ACO/AE or Insurer Overall Organization ID]],Q113),2))</f>
        <v>TRUE</v>
      </c>
      <c r="AA113" s="6" t="str">
        <f>IF(V113=ROUND(SUMIFS(ACOAETME2022[[#All],[TOTAL Truncated Unadjusted Claims Expenses (A19 - A17)]], ACOAETME2022[[#All],[Insurance Category Code]],3, ACOAETME2022[[#All],[ACO/AE or Insurer Overall Organization ID]],Q113),2), "TRUE", ROUND(V113-SUMIFS(ACOAETME2022[[#All],[TOTAL Truncated Unadjusted Claims Expenses (A19 - A17)]], ACOAETME2022[[#All],[Insurance Category Code]],3, ACOAETME2022[[#All],[ACO/AE or Insurer Overall Organization ID]],Q113),2))</f>
        <v>TRUE</v>
      </c>
      <c r="AB113" s="6" t="str">
        <f t="shared" si="20"/>
        <v>TRUE</v>
      </c>
      <c r="AC113" s="6" t="b">
        <f>ROUND(SUMIFS(ACOAETME2022[[#All],[TOTAL Non-Truncated Unadjusted Claims Expenses]], ACOAETME2022[[#All],[Insurance Category Code]],3, ACOAETME2022[[#All],[ACO/AE or Insurer Overall Organization ID]],Q113), 2)&gt;=ROUND(SUMIFS(ACOAETME2022[[#All],[TOTAL Truncated Unadjusted Claims Expenses (A19 - A17)]], ACOAETME2022[[#All],[Insurance Category Code]],3, ACOAETME2022[[#All],[ACO/AE or Insurer Overall Organization ID]],Q113),2)</f>
        <v>1</v>
      </c>
      <c r="AD113" s="6" t="b">
        <f>ROUND(SUMIFS(ACOAETME2022[[#All],[TOTAL Truncated Unadjusted Claims Expenses (A19 - A17)]], ACOAETME2022[[#All],[Insurance Category Code]],3, ACOAETME2022[[#All],[ACO/AE or Insurer Overall Organization ID]],Q113)+SUMIFS(ACOAETME2022[[#All],[Total Claims Excluded because of Truncation]], ACOAETME2022[[#All],[Insurance Category Code]],3, ACOAETME2022[[#All],[ACO/AE or Insurer Overall Organization ID]],Q113),2)=ROUND(SUMIFS(ACOAETME2022[[#All],[TOTAL Non-Truncated Unadjusted Claims Expenses]], ACOAETME2022[[#All],[Insurance Category Code]],3, ACOAETME2022[[#All],[ACO/AE or Insurer Overall Organization ID]],Q113), 2)</f>
        <v>1</v>
      </c>
      <c r="AG113" s="454" t="str">
        <f t="shared" si="21"/>
        <v>NA</v>
      </c>
    </row>
    <row r="114" spans="2:33" x14ac:dyDescent="0.35">
      <c r="B114" s="115">
        <v>106</v>
      </c>
      <c r="C114" s="192">
        <f>ROUND(SUMIFS(AgeSex21[[#All],[Total Member Months by Age/Sex Band]], AgeSex21[[#All],[ACO/AE ID or Insurer Overall]], $B114, AgeSex21[[#All], [Insurance Category Code]],3), 2)</f>
        <v>0</v>
      </c>
      <c r="D114" s="452">
        <f>ROUND(SUMIFS(AgeSex21[[#All],[Total Dollars Excluded from Spending After Applying Truncation at the Member Level]], AgeSex21[[#All],[ACO/AE ID or Insurer Overall]], $B114, AgeSex21[[#All], [Insurance Category Code]],3), 2)</f>
        <v>0</v>
      </c>
      <c r="E114" s="6">
        <f>ROUND(SUMIFS(AgeSex21[[#All],[Count of Members Whose Spending was Truncated]], AgeSex21[[#All],[ACO/AE ID or Insurer Overall]], $B114, AgeSex21[[#All], [Insurance Category Code]],3), 2)</f>
        <v>0</v>
      </c>
      <c r="F114" s="452">
        <f>ROUND(SUMIFS(AgeSex21[[#All],[Total Spending before Truncation is Applied]], AgeSex21[[#All],[ACO/AE ID or Insurer Overall]], $B114, AgeSex21[[#All], [Insurance Category Code]],3), 2)</f>
        <v>0</v>
      </c>
      <c r="G114" s="452">
        <f>ROUND(SUMIFS(AgeSex21[[#All],[Total Spending After Applying Truncation at the Member Level]], AgeSex21[[#All],[ACO/AE ID or Insurer Overall]], $B114, AgeSex21[[#All], [Insurance Category Code]],3), 2)</f>
        <v>0</v>
      </c>
      <c r="H114" s="6" t="str">
        <f>IF(C114=ROUND(SUMIFS(ACOAETME2021[[#All],[Member Months]], ACOAETME2021[[#All],[Insurance Category Code]],3, ACOAETME2021[[#All],[ACO/AE or Insurer Overall Organization ID]],B114),2), "TRUE", ROUND(C114-SUMIFS(ACOAETME2021[[#All],[Member Months]], ACOAETME2021[[#All],[Insurance Category Code]],3, ACOAETME2021[[#All],[ACO/AE or Insurer Overall Organization ID]],B114),2))</f>
        <v>TRUE</v>
      </c>
      <c r="I114" s="6" t="str">
        <f>IF(D114=ROUND(SUMIFS(ACOAETME2021[[#All],[Total Claims Excluded because of Truncation]], ACOAETME2021[[#All],[Insurance Category Code]],3, ACOAETME2021[[#All],[ACO/AE or Insurer Overall Organization ID]],B114),2), "TRUE", ROUND(D114-SUMIFS(ACOAETME2021[[#All],[Total Claims Excluded because of Truncation]], ACOAETME2021[[#All],[Insurance Category Code]],3, ACOAETME2021[[#All],[ACO/AE or Insurer Overall Organization ID]],B114),2))</f>
        <v>TRUE</v>
      </c>
      <c r="J114" s="6" t="str">
        <f>IF(E114=ROUND(SUMIFS(ACOAETME2021[[#All],[Count of Members with Claims Truncated]], ACOAETME2021[[#All],[Insurance Category Code]],3, ACOAETME2021[[#All],[ACO/AE or Insurer Overall Organization ID]],B114),2), "TRUE", ROUND(E114-SUMIFS(ACOAETME2021[[#All],[Count of Members with Claims Truncated]], ACOAETME2021[[#All],[Insurance Category Code]],3, ACOAETME2021[[#All],[ACO/AE or Insurer Overall Organization ID]],B114),2))</f>
        <v>TRUE</v>
      </c>
      <c r="K114" s="6" t="str">
        <f>IF(F114=ROUND(SUMIFS(ACOAETME2021[[#All],[TOTAL Non-Truncated Unadjusted Claims Expenses]], ACOAETME2021[[#All],[Insurance Category Code]],3, ACOAETME2021[[#All],[ACO/AE or Insurer Overall Organization ID]],B114),2), "TRUE", ROUND(F114-SUMIFS(ACOAETME2021[[#All],[TOTAL Non-Truncated Unadjusted Claims Expenses]], ACOAETME2021[[#All],[Insurance Category Code]],3, ACOAETME2021[[#All],[ACO/AE or Insurer Overall Organization ID]],B114),2))</f>
        <v>TRUE</v>
      </c>
      <c r="L114" s="6" t="str">
        <f>IF(G114=ROUND(SUMIFS(ACOAETME2021[[#All],[TOTAL Truncated Unadjusted Claims Expenses (A19 - A17)]], ACOAETME2021[[#All],[Insurance Category Code]],3, ACOAETME2021[[#All],[ACO/AE or Insurer Overall Organization ID]],B114),2), "TRUE", ROUND(G114-SUMIFS(ACOAETME2021[[#All],[TOTAL Truncated Unadjusted Claims Expenses (A19 - A17)]], ACOAETME2021[[#All],[Insurance Category Code]],3, ACOAETME2021[[#All],[ACO/AE or Insurer Overall Organization ID]],B114),2))</f>
        <v>TRUE</v>
      </c>
      <c r="M114" s="6" t="str">
        <f t="shared" si="22"/>
        <v>TRUE</v>
      </c>
      <c r="N114" s="6" t="b">
        <f>ROUND(SUMIFS(ACOAETME2021[[#All],[TOTAL Non-Truncated Unadjusted Claims Expenses]], ACOAETME2021[[#All],[Insurance Category Code]],3, ACOAETME2021[[#All],[ACO/AE or Insurer Overall Organization ID]],B114), 2)&gt;=ROUND(SUMIFS(ACOAETME2021[[#All],[TOTAL Truncated Unadjusted Claims Expenses (A19 - A17)]], ACOAETME2021[[#All],[Insurance Category Code]],3, ACOAETME2021[[#All],[ACO/AE or Insurer Overall Organization ID]],B114),2)</f>
        <v>1</v>
      </c>
      <c r="O114" s="6" t="b">
        <f>ROUND(SUMIFS(ACOAETME2021[[#All],[TOTAL Truncated Unadjusted Claims Expenses (A19 - A17)]], ACOAETME2021[[#All],[Insurance Category Code]],3, ACOAETME2021[[#All],[ACO/AE or Insurer Overall Organization ID]],B114)+SUMIFS(ACOAETME2021[[#All],[Total Claims Excluded because of Truncation]], ACOAETME2021[[#All],[Insurance Category Code]],3, ACOAETME2021[[#All],[ACO/AE or Insurer Overall Organization ID]],B114),2)=ROUND(SUMIFS(ACOAETME2021[[#All],[TOTAL Non-Truncated Unadjusted Claims Expenses]], ACOAETME2021[[#All],[Insurance Category Code]],3, ACOAETME2021[[#All],[ACO/AE or Insurer Overall Organization ID]],B114), 2)</f>
        <v>1</v>
      </c>
      <c r="Q114" s="435">
        <v>106</v>
      </c>
      <c r="R114" s="194">
        <f>ROUND(SUMIFS(AgeSex22[[#All],[Total Member Months by Age/Sex Band]], AgeSex22[[#All],[ACO/AE ID or Insurer Overall]], $B114, AgeSex22[[#All], [Insurance Category Code]],3), 2)</f>
        <v>0</v>
      </c>
      <c r="S114" s="452">
        <f>ROUND(SUMIFS(AgeSex22[[#All],[Total Dollars Excluded from Spending After Applying Truncation at the Member Level]], AgeSex22[[#All],[ACO/AE ID or Insurer Overall]], $B114, AgeSex22[[#All], [Insurance Category Code]],3), 2)</f>
        <v>0</v>
      </c>
      <c r="T114" s="6">
        <f>ROUND(SUMIFS(AgeSex22[[#All],[Count of Members Whose Spending was Truncated]], AgeSex22[[#All],[ACO/AE ID or Insurer Overall]], $B114, AgeSex22[[#All], [Insurance Category Code]],3), 2)</f>
        <v>0</v>
      </c>
      <c r="U114" s="452">
        <f>ROUND(SUMIFS(AgeSex22[[#All],[Total Spending before Truncation is Applied]], AgeSex22[[#All],[ACO/AE ID or Insurer Overall]], $B114, AgeSex22[[#All], [Insurance Category Code]],3), 2)</f>
        <v>0</v>
      </c>
      <c r="V114" s="452">
        <f>ROUND(SUMIFS(AgeSex22[[#All],[Total Spending After Applying Truncation at the Member Level]], AgeSex22[[#All],[ACO/AE ID or Insurer Overall]], $B114, AgeSex22[[#All], [Insurance Category Code]],3), 2)</f>
        <v>0</v>
      </c>
      <c r="W114" s="457" t="str">
        <f>IF(R114=ROUND(SUMIFS(ACOAETME2022[[#All],[Member Months]], ACOAETME2022[[#All],[Insurance Category Code]],3, ACOAETME2022[[#All],[ACO/AE or Insurer Overall Organization ID]],Q114),2), "TRUE", ROUND(R114-SUMIFS(ACOAETME2022[[#All],[Member Months]], ACOAETME2022[[#All],[Insurance Category Code]],3, ACOAETME2022[[#All],[ACO/AE or Insurer Overall Organization ID]],Q114),2))</f>
        <v>TRUE</v>
      </c>
      <c r="X114" s="6" t="str">
        <f>IF(S114=ROUND(SUMIFS(ACOAETME2022[[#All],[Total Claims Excluded because of Truncation]], ACOAETME2022[[#All],[Insurance Category Code]],3, ACOAETME2022[[#All],[ACO/AE or Insurer Overall Organization ID]],Q114),2), "TRUE", ROUND(S114-SUMIFS(ACOAETME2022[[#All],[Total Claims Excluded because of Truncation]], ACOAETME2022[[#All],[Insurance Category Code]],3, ACOAETME2022[[#All],[ACO/AE or Insurer Overall Organization ID]],Q114),2))</f>
        <v>TRUE</v>
      </c>
      <c r="Y114" s="6" t="str">
        <f>IF(T114=ROUND(SUMIFS(ACOAETME2022[[#All],[Count of Members with Claims Truncated]], ACOAETME2022[[#All],[Insurance Category Code]],3, ACOAETME2022[[#All],[ACO/AE or Insurer Overall Organization ID]],Q114),2), "TRUE", ROUND(T114-SUMIFS(ACOAETME2022[[#All],[Count of Members with Claims Truncated]], ACOAETME2022[[#All],[Insurance Category Code]],3, ACOAETME2022[[#All],[ACO/AE or Insurer Overall Organization ID]],Q114),2))</f>
        <v>TRUE</v>
      </c>
      <c r="Z114" s="6" t="str">
        <f>IF(U114=ROUND(SUMIFS(ACOAETME2022[[#All],[TOTAL Non-Truncated Unadjusted Claims Expenses]], ACOAETME2022[[#All],[Insurance Category Code]],3, ACOAETME2022[[#All],[ACO/AE or Insurer Overall Organization ID]],Q114),2), "TRUE", ROUND(U114-SUMIFS(ACOAETME2022[[#All],[TOTAL Non-Truncated Unadjusted Claims Expenses]], ACOAETME2022[[#All],[Insurance Category Code]],3, ACOAETME2022[[#All],[ACO/AE or Insurer Overall Organization ID]],Q114),2))</f>
        <v>TRUE</v>
      </c>
      <c r="AA114" s="6" t="str">
        <f>IF(V114=ROUND(SUMIFS(ACOAETME2022[[#All],[TOTAL Truncated Unadjusted Claims Expenses (A19 - A17)]], ACOAETME2022[[#All],[Insurance Category Code]],3, ACOAETME2022[[#All],[ACO/AE or Insurer Overall Organization ID]],Q114),2), "TRUE", ROUND(V114-SUMIFS(ACOAETME2022[[#All],[TOTAL Truncated Unadjusted Claims Expenses (A19 - A17)]], ACOAETME2022[[#All],[Insurance Category Code]],3, ACOAETME2022[[#All],[ACO/AE or Insurer Overall Organization ID]],Q114),2))</f>
        <v>TRUE</v>
      </c>
      <c r="AB114" s="6" t="str">
        <f t="shared" si="20"/>
        <v>TRUE</v>
      </c>
      <c r="AC114" s="6" t="b">
        <f>ROUND(SUMIFS(ACOAETME2022[[#All],[TOTAL Non-Truncated Unadjusted Claims Expenses]], ACOAETME2022[[#All],[Insurance Category Code]],3, ACOAETME2022[[#All],[ACO/AE or Insurer Overall Organization ID]],Q114), 2)&gt;=ROUND(SUMIFS(ACOAETME2022[[#All],[TOTAL Truncated Unadjusted Claims Expenses (A19 - A17)]], ACOAETME2022[[#All],[Insurance Category Code]],3, ACOAETME2022[[#All],[ACO/AE or Insurer Overall Organization ID]],Q114),2)</f>
        <v>1</v>
      </c>
      <c r="AD114" s="6" t="b">
        <f>ROUND(SUMIFS(ACOAETME2022[[#All],[TOTAL Truncated Unadjusted Claims Expenses (A19 - A17)]], ACOAETME2022[[#All],[Insurance Category Code]],3, ACOAETME2022[[#All],[ACO/AE or Insurer Overall Organization ID]],Q114)+SUMIFS(ACOAETME2022[[#All],[Total Claims Excluded because of Truncation]], ACOAETME2022[[#All],[Insurance Category Code]],3, ACOAETME2022[[#All],[ACO/AE or Insurer Overall Organization ID]],Q114),2)=ROUND(SUMIFS(ACOAETME2022[[#All],[TOTAL Non-Truncated Unadjusted Claims Expenses]], ACOAETME2022[[#All],[Insurance Category Code]],3, ACOAETME2022[[#All],[ACO/AE or Insurer Overall Organization ID]],Q114), 2)</f>
        <v>1</v>
      </c>
      <c r="AG114" s="454" t="str">
        <f t="shared" si="21"/>
        <v>NA</v>
      </c>
    </row>
    <row r="115" spans="2:33" x14ac:dyDescent="0.35">
      <c r="B115" s="115">
        <v>107</v>
      </c>
      <c r="C115" s="192">
        <f>ROUND(SUMIFS(AgeSex21[[#All],[Total Member Months by Age/Sex Band]], AgeSex21[[#All],[ACO/AE ID or Insurer Overall]], $B115, AgeSex21[[#All], [Insurance Category Code]],3), 2)</f>
        <v>0</v>
      </c>
      <c r="D115" s="452">
        <f>ROUND(SUMIFS(AgeSex21[[#All],[Total Dollars Excluded from Spending After Applying Truncation at the Member Level]], AgeSex21[[#All],[ACO/AE ID or Insurer Overall]], $B115, AgeSex21[[#All], [Insurance Category Code]],3), 2)</f>
        <v>0</v>
      </c>
      <c r="E115" s="6">
        <f>ROUND(SUMIFS(AgeSex21[[#All],[Count of Members Whose Spending was Truncated]], AgeSex21[[#All],[ACO/AE ID or Insurer Overall]], $B115, AgeSex21[[#All], [Insurance Category Code]],3), 2)</f>
        <v>0</v>
      </c>
      <c r="F115" s="452">
        <f>ROUND(SUMIFS(AgeSex21[[#All],[Total Spending before Truncation is Applied]], AgeSex21[[#All],[ACO/AE ID or Insurer Overall]], $B115, AgeSex21[[#All], [Insurance Category Code]],3), 2)</f>
        <v>0</v>
      </c>
      <c r="G115" s="452">
        <f>ROUND(SUMIFS(AgeSex21[[#All],[Total Spending After Applying Truncation at the Member Level]], AgeSex21[[#All],[ACO/AE ID or Insurer Overall]], $B115, AgeSex21[[#All], [Insurance Category Code]],3), 2)</f>
        <v>0</v>
      </c>
      <c r="H115" s="6" t="str">
        <f>IF(C115=ROUND(SUMIFS(ACOAETME2021[[#All],[Member Months]], ACOAETME2021[[#All],[Insurance Category Code]],3, ACOAETME2021[[#All],[ACO/AE or Insurer Overall Organization ID]],B115),2), "TRUE", ROUND(C115-SUMIFS(ACOAETME2021[[#All],[Member Months]], ACOAETME2021[[#All],[Insurance Category Code]],3, ACOAETME2021[[#All],[ACO/AE or Insurer Overall Organization ID]],B115),2))</f>
        <v>TRUE</v>
      </c>
      <c r="I115" s="6" t="str">
        <f>IF(D115=ROUND(SUMIFS(ACOAETME2021[[#All],[Total Claims Excluded because of Truncation]], ACOAETME2021[[#All],[Insurance Category Code]],3, ACOAETME2021[[#All],[ACO/AE or Insurer Overall Organization ID]],B115),2), "TRUE", ROUND(D115-SUMIFS(ACOAETME2021[[#All],[Total Claims Excluded because of Truncation]], ACOAETME2021[[#All],[Insurance Category Code]],3, ACOAETME2021[[#All],[ACO/AE or Insurer Overall Organization ID]],B115),2))</f>
        <v>TRUE</v>
      </c>
      <c r="J115" s="6" t="str">
        <f>IF(E115=ROUND(SUMIFS(ACOAETME2021[[#All],[Count of Members with Claims Truncated]], ACOAETME2021[[#All],[Insurance Category Code]],3, ACOAETME2021[[#All],[ACO/AE or Insurer Overall Organization ID]],B115),2), "TRUE", ROUND(E115-SUMIFS(ACOAETME2021[[#All],[Count of Members with Claims Truncated]], ACOAETME2021[[#All],[Insurance Category Code]],3, ACOAETME2021[[#All],[ACO/AE or Insurer Overall Organization ID]],B115),2))</f>
        <v>TRUE</v>
      </c>
      <c r="K115" s="6" t="str">
        <f>IF(F115=ROUND(SUMIFS(ACOAETME2021[[#All],[TOTAL Non-Truncated Unadjusted Claims Expenses]], ACOAETME2021[[#All],[Insurance Category Code]],3, ACOAETME2021[[#All],[ACO/AE or Insurer Overall Organization ID]],B115),2), "TRUE", ROUND(F115-SUMIFS(ACOAETME2021[[#All],[TOTAL Non-Truncated Unadjusted Claims Expenses]], ACOAETME2021[[#All],[Insurance Category Code]],3, ACOAETME2021[[#All],[ACO/AE or Insurer Overall Organization ID]],B115),2))</f>
        <v>TRUE</v>
      </c>
      <c r="L115" s="6" t="str">
        <f>IF(G115=ROUND(SUMIFS(ACOAETME2021[[#All],[TOTAL Truncated Unadjusted Claims Expenses (A19 - A17)]], ACOAETME2021[[#All],[Insurance Category Code]],3, ACOAETME2021[[#All],[ACO/AE or Insurer Overall Organization ID]],B115),2), "TRUE", ROUND(G115-SUMIFS(ACOAETME2021[[#All],[TOTAL Truncated Unadjusted Claims Expenses (A19 - A17)]], ACOAETME2021[[#All],[Insurance Category Code]],3, ACOAETME2021[[#All],[ACO/AE or Insurer Overall Organization ID]],B115),2))</f>
        <v>TRUE</v>
      </c>
      <c r="M115" s="6" t="str">
        <f t="shared" si="22"/>
        <v>TRUE</v>
      </c>
      <c r="N115" s="6" t="b">
        <f>ROUND(SUMIFS(ACOAETME2021[[#All],[TOTAL Non-Truncated Unadjusted Claims Expenses]], ACOAETME2021[[#All],[Insurance Category Code]],3, ACOAETME2021[[#All],[ACO/AE or Insurer Overall Organization ID]],B115), 2)&gt;=ROUND(SUMIFS(ACOAETME2021[[#All],[TOTAL Truncated Unadjusted Claims Expenses (A19 - A17)]], ACOAETME2021[[#All],[Insurance Category Code]],3, ACOAETME2021[[#All],[ACO/AE or Insurer Overall Organization ID]],B115),2)</f>
        <v>1</v>
      </c>
      <c r="O115" s="6" t="b">
        <f>ROUND(SUMIFS(ACOAETME2021[[#All],[TOTAL Truncated Unadjusted Claims Expenses (A19 - A17)]], ACOAETME2021[[#All],[Insurance Category Code]],3, ACOAETME2021[[#All],[ACO/AE or Insurer Overall Organization ID]],B115)+SUMIFS(ACOAETME2021[[#All],[Total Claims Excluded because of Truncation]], ACOAETME2021[[#All],[Insurance Category Code]],3, ACOAETME2021[[#All],[ACO/AE or Insurer Overall Organization ID]],B115),2)=ROUND(SUMIFS(ACOAETME2021[[#All],[TOTAL Non-Truncated Unadjusted Claims Expenses]], ACOAETME2021[[#All],[Insurance Category Code]],3, ACOAETME2021[[#All],[ACO/AE or Insurer Overall Organization ID]],B115), 2)</f>
        <v>1</v>
      </c>
      <c r="Q115" s="435">
        <v>107</v>
      </c>
      <c r="R115" s="194">
        <f>ROUND(SUMIFS(AgeSex22[[#All],[Total Member Months by Age/Sex Band]], AgeSex22[[#All],[ACO/AE ID or Insurer Overall]], $B115, AgeSex22[[#All], [Insurance Category Code]],3), 2)</f>
        <v>0</v>
      </c>
      <c r="S115" s="452">
        <f>ROUND(SUMIFS(AgeSex22[[#All],[Total Dollars Excluded from Spending After Applying Truncation at the Member Level]], AgeSex22[[#All],[ACO/AE ID or Insurer Overall]], $B115, AgeSex22[[#All], [Insurance Category Code]],3), 2)</f>
        <v>0</v>
      </c>
      <c r="T115" s="6">
        <f>ROUND(SUMIFS(AgeSex22[[#All],[Count of Members Whose Spending was Truncated]], AgeSex22[[#All],[ACO/AE ID or Insurer Overall]], $B115, AgeSex22[[#All], [Insurance Category Code]],3), 2)</f>
        <v>0</v>
      </c>
      <c r="U115" s="452">
        <f>ROUND(SUMIFS(AgeSex22[[#All],[Total Spending before Truncation is Applied]], AgeSex22[[#All],[ACO/AE ID or Insurer Overall]], $B115, AgeSex22[[#All], [Insurance Category Code]],3), 2)</f>
        <v>0</v>
      </c>
      <c r="V115" s="452">
        <f>ROUND(SUMIFS(AgeSex22[[#All],[Total Spending After Applying Truncation at the Member Level]], AgeSex22[[#All],[ACO/AE ID or Insurer Overall]], $B115, AgeSex22[[#All], [Insurance Category Code]],3), 2)</f>
        <v>0</v>
      </c>
      <c r="W115" s="457" t="str">
        <f>IF(R115=ROUND(SUMIFS(ACOAETME2022[[#All],[Member Months]], ACOAETME2022[[#All],[Insurance Category Code]],3, ACOAETME2022[[#All],[ACO/AE or Insurer Overall Organization ID]],Q115),2), "TRUE", ROUND(R115-SUMIFS(ACOAETME2022[[#All],[Member Months]], ACOAETME2022[[#All],[Insurance Category Code]],3, ACOAETME2022[[#All],[ACO/AE or Insurer Overall Organization ID]],Q115),2))</f>
        <v>TRUE</v>
      </c>
      <c r="X115" s="6" t="str">
        <f>IF(S115=ROUND(SUMIFS(ACOAETME2022[[#All],[Total Claims Excluded because of Truncation]], ACOAETME2022[[#All],[Insurance Category Code]],3, ACOAETME2022[[#All],[ACO/AE or Insurer Overall Organization ID]],Q115),2), "TRUE", ROUND(S115-SUMIFS(ACOAETME2022[[#All],[Total Claims Excluded because of Truncation]], ACOAETME2022[[#All],[Insurance Category Code]],3, ACOAETME2022[[#All],[ACO/AE or Insurer Overall Organization ID]],Q115),2))</f>
        <v>TRUE</v>
      </c>
      <c r="Y115" s="6" t="str">
        <f>IF(T115=ROUND(SUMIFS(ACOAETME2022[[#All],[Count of Members with Claims Truncated]], ACOAETME2022[[#All],[Insurance Category Code]],3, ACOAETME2022[[#All],[ACO/AE or Insurer Overall Organization ID]],Q115),2), "TRUE", ROUND(T115-SUMIFS(ACOAETME2022[[#All],[Count of Members with Claims Truncated]], ACOAETME2022[[#All],[Insurance Category Code]],3, ACOAETME2022[[#All],[ACO/AE or Insurer Overall Organization ID]],Q115),2))</f>
        <v>TRUE</v>
      </c>
      <c r="Z115" s="6" t="str">
        <f>IF(U115=ROUND(SUMIFS(ACOAETME2022[[#All],[TOTAL Non-Truncated Unadjusted Claims Expenses]], ACOAETME2022[[#All],[Insurance Category Code]],3, ACOAETME2022[[#All],[ACO/AE or Insurer Overall Organization ID]],Q115),2), "TRUE", ROUND(U115-SUMIFS(ACOAETME2022[[#All],[TOTAL Non-Truncated Unadjusted Claims Expenses]], ACOAETME2022[[#All],[Insurance Category Code]],3, ACOAETME2022[[#All],[ACO/AE or Insurer Overall Organization ID]],Q115),2))</f>
        <v>TRUE</v>
      </c>
      <c r="AA115" s="6" t="str">
        <f>IF(V115=ROUND(SUMIFS(ACOAETME2022[[#All],[TOTAL Truncated Unadjusted Claims Expenses (A19 - A17)]], ACOAETME2022[[#All],[Insurance Category Code]],3, ACOAETME2022[[#All],[ACO/AE or Insurer Overall Organization ID]],Q115),2), "TRUE", ROUND(V115-SUMIFS(ACOAETME2022[[#All],[TOTAL Truncated Unadjusted Claims Expenses (A19 - A17)]], ACOAETME2022[[#All],[Insurance Category Code]],3, ACOAETME2022[[#All],[ACO/AE or Insurer Overall Organization ID]],Q115),2))</f>
        <v>TRUE</v>
      </c>
      <c r="AB115" s="6" t="str">
        <f t="shared" si="20"/>
        <v>TRUE</v>
      </c>
      <c r="AC115" s="6" t="b">
        <f>ROUND(SUMIFS(ACOAETME2022[[#All],[TOTAL Non-Truncated Unadjusted Claims Expenses]], ACOAETME2022[[#All],[Insurance Category Code]],3, ACOAETME2022[[#All],[ACO/AE or Insurer Overall Organization ID]],Q115), 2)&gt;=ROUND(SUMIFS(ACOAETME2022[[#All],[TOTAL Truncated Unadjusted Claims Expenses (A19 - A17)]], ACOAETME2022[[#All],[Insurance Category Code]],3, ACOAETME2022[[#All],[ACO/AE or Insurer Overall Organization ID]],Q115),2)</f>
        <v>1</v>
      </c>
      <c r="AD115" s="6" t="b">
        <f>ROUND(SUMIFS(ACOAETME2022[[#All],[TOTAL Truncated Unadjusted Claims Expenses (A19 - A17)]], ACOAETME2022[[#All],[Insurance Category Code]],3, ACOAETME2022[[#All],[ACO/AE or Insurer Overall Organization ID]],Q115)+SUMIFS(ACOAETME2022[[#All],[Total Claims Excluded because of Truncation]], ACOAETME2022[[#All],[Insurance Category Code]],3, ACOAETME2022[[#All],[ACO/AE or Insurer Overall Organization ID]],Q115),2)=ROUND(SUMIFS(ACOAETME2022[[#All],[TOTAL Non-Truncated Unadjusted Claims Expenses]], ACOAETME2022[[#All],[Insurance Category Code]],3, ACOAETME2022[[#All],[ACO/AE or Insurer Overall Organization ID]],Q115), 2)</f>
        <v>1</v>
      </c>
      <c r="AG115" s="454" t="str">
        <f t="shared" si="21"/>
        <v>NA</v>
      </c>
    </row>
    <row r="116" spans="2:33" x14ac:dyDescent="0.35">
      <c r="B116" s="115">
        <v>108</v>
      </c>
      <c r="C116" s="192">
        <f>ROUND(SUMIFS(AgeSex21[[#All],[Total Member Months by Age/Sex Band]], AgeSex21[[#All],[ACO/AE ID or Insurer Overall]], $B116, AgeSex21[[#All], [Insurance Category Code]],3), 2)</f>
        <v>0</v>
      </c>
      <c r="D116" s="452">
        <f>ROUND(SUMIFS(AgeSex21[[#All],[Total Dollars Excluded from Spending After Applying Truncation at the Member Level]], AgeSex21[[#All],[ACO/AE ID or Insurer Overall]], $B116, AgeSex21[[#All], [Insurance Category Code]],3), 2)</f>
        <v>0</v>
      </c>
      <c r="E116" s="6">
        <f>ROUND(SUMIFS(AgeSex21[[#All],[Count of Members Whose Spending was Truncated]], AgeSex21[[#All],[ACO/AE ID or Insurer Overall]], $B116, AgeSex21[[#All], [Insurance Category Code]],3), 2)</f>
        <v>0</v>
      </c>
      <c r="F116" s="452">
        <f>ROUND(SUMIFS(AgeSex21[[#All],[Total Spending before Truncation is Applied]], AgeSex21[[#All],[ACO/AE ID or Insurer Overall]], $B116, AgeSex21[[#All], [Insurance Category Code]],3), 2)</f>
        <v>0</v>
      </c>
      <c r="G116" s="452">
        <f>ROUND(SUMIFS(AgeSex21[[#All],[Total Spending After Applying Truncation at the Member Level]], AgeSex21[[#All],[ACO/AE ID or Insurer Overall]], $B116, AgeSex21[[#All], [Insurance Category Code]],3), 2)</f>
        <v>0</v>
      </c>
      <c r="H116" s="6" t="str">
        <f>IF(C116=ROUND(SUMIFS(ACOAETME2021[[#All],[Member Months]], ACOAETME2021[[#All],[Insurance Category Code]],3, ACOAETME2021[[#All],[ACO/AE or Insurer Overall Organization ID]],B116),2), "TRUE", ROUND(C116-SUMIFS(ACOAETME2021[[#All],[Member Months]], ACOAETME2021[[#All],[Insurance Category Code]],3, ACOAETME2021[[#All],[ACO/AE or Insurer Overall Organization ID]],B116),2))</f>
        <v>TRUE</v>
      </c>
      <c r="I116" s="6" t="str">
        <f>IF(D116=ROUND(SUMIFS(ACOAETME2021[[#All],[Total Claims Excluded because of Truncation]], ACOAETME2021[[#All],[Insurance Category Code]],3, ACOAETME2021[[#All],[ACO/AE or Insurer Overall Organization ID]],B116),2), "TRUE", ROUND(D116-SUMIFS(ACOAETME2021[[#All],[Total Claims Excluded because of Truncation]], ACOAETME2021[[#All],[Insurance Category Code]],3, ACOAETME2021[[#All],[ACO/AE or Insurer Overall Organization ID]],B116),2))</f>
        <v>TRUE</v>
      </c>
      <c r="J116" s="6" t="str">
        <f>IF(E116=ROUND(SUMIFS(ACOAETME2021[[#All],[Count of Members with Claims Truncated]], ACOAETME2021[[#All],[Insurance Category Code]],3, ACOAETME2021[[#All],[ACO/AE or Insurer Overall Organization ID]],B116),2), "TRUE", ROUND(E116-SUMIFS(ACOAETME2021[[#All],[Count of Members with Claims Truncated]], ACOAETME2021[[#All],[Insurance Category Code]],3, ACOAETME2021[[#All],[ACO/AE or Insurer Overall Organization ID]],B116),2))</f>
        <v>TRUE</v>
      </c>
      <c r="K116" s="6" t="str">
        <f>IF(F116=ROUND(SUMIFS(ACOAETME2021[[#All],[TOTAL Non-Truncated Unadjusted Claims Expenses]], ACOAETME2021[[#All],[Insurance Category Code]],3, ACOAETME2021[[#All],[ACO/AE or Insurer Overall Organization ID]],B116),2), "TRUE", ROUND(F116-SUMIFS(ACOAETME2021[[#All],[TOTAL Non-Truncated Unadjusted Claims Expenses]], ACOAETME2021[[#All],[Insurance Category Code]],3, ACOAETME2021[[#All],[ACO/AE or Insurer Overall Organization ID]],B116),2))</f>
        <v>TRUE</v>
      </c>
      <c r="L116" s="6" t="str">
        <f>IF(G116=ROUND(SUMIFS(ACOAETME2021[[#All],[TOTAL Truncated Unadjusted Claims Expenses (A19 - A17)]], ACOAETME2021[[#All],[Insurance Category Code]],3, ACOAETME2021[[#All],[ACO/AE or Insurer Overall Organization ID]],B116),2), "TRUE", ROUND(G116-SUMIFS(ACOAETME2021[[#All],[TOTAL Truncated Unadjusted Claims Expenses (A19 - A17)]], ACOAETME2021[[#All],[Insurance Category Code]],3, ACOAETME2021[[#All],[ACO/AE or Insurer Overall Organization ID]],B116),2))</f>
        <v>TRUE</v>
      </c>
      <c r="M116" s="6" t="str">
        <f t="shared" si="22"/>
        <v>TRUE</v>
      </c>
      <c r="N116" s="6" t="b">
        <f>ROUND(SUMIFS(ACOAETME2021[[#All],[TOTAL Non-Truncated Unadjusted Claims Expenses]], ACOAETME2021[[#All],[Insurance Category Code]],3, ACOAETME2021[[#All],[ACO/AE or Insurer Overall Organization ID]],B116), 2)&gt;=ROUND(SUMIFS(ACOAETME2021[[#All],[TOTAL Truncated Unadjusted Claims Expenses (A19 - A17)]], ACOAETME2021[[#All],[Insurance Category Code]],3, ACOAETME2021[[#All],[ACO/AE or Insurer Overall Organization ID]],B116),2)</f>
        <v>1</v>
      </c>
      <c r="O116" s="6" t="b">
        <f>ROUND(SUMIFS(ACOAETME2021[[#All],[TOTAL Truncated Unadjusted Claims Expenses (A19 - A17)]], ACOAETME2021[[#All],[Insurance Category Code]],3, ACOAETME2021[[#All],[ACO/AE or Insurer Overall Organization ID]],B116)+SUMIFS(ACOAETME2021[[#All],[Total Claims Excluded because of Truncation]], ACOAETME2021[[#All],[Insurance Category Code]],3, ACOAETME2021[[#All],[ACO/AE or Insurer Overall Organization ID]],B116),2)=ROUND(SUMIFS(ACOAETME2021[[#All],[TOTAL Non-Truncated Unadjusted Claims Expenses]], ACOAETME2021[[#All],[Insurance Category Code]],3, ACOAETME2021[[#All],[ACO/AE or Insurer Overall Organization ID]],B116), 2)</f>
        <v>1</v>
      </c>
      <c r="Q116" s="435">
        <v>108</v>
      </c>
      <c r="R116" s="194">
        <f>ROUND(SUMIFS(AgeSex22[[#All],[Total Member Months by Age/Sex Band]], AgeSex22[[#All],[ACO/AE ID or Insurer Overall]], $B116, AgeSex22[[#All], [Insurance Category Code]],3), 2)</f>
        <v>0</v>
      </c>
      <c r="S116" s="452">
        <f>ROUND(SUMIFS(AgeSex22[[#All],[Total Dollars Excluded from Spending After Applying Truncation at the Member Level]], AgeSex22[[#All],[ACO/AE ID or Insurer Overall]], $B116, AgeSex22[[#All], [Insurance Category Code]],3), 2)</f>
        <v>0</v>
      </c>
      <c r="T116" s="6">
        <f>ROUND(SUMIFS(AgeSex22[[#All],[Count of Members Whose Spending was Truncated]], AgeSex22[[#All],[ACO/AE ID or Insurer Overall]], $B116, AgeSex22[[#All], [Insurance Category Code]],3), 2)</f>
        <v>0</v>
      </c>
      <c r="U116" s="452">
        <f>ROUND(SUMIFS(AgeSex22[[#All],[Total Spending before Truncation is Applied]], AgeSex22[[#All],[ACO/AE ID or Insurer Overall]], $B116, AgeSex22[[#All], [Insurance Category Code]],3), 2)</f>
        <v>0</v>
      </c>
      <c r="V116" s="452">
        <f>ROUND(SUMIFS(AgeSex22[[#All],[Total Spending After Applying Truncation at the Member Level]], AgeSex22[[#All],[ACO/AE ID or Insurer Overall]], $B116, AgeSex22[[#All], [Insurance Category Code]],3), 2)</f>
        <v>0</v>
      </c>
      <c r="W116" s="457" t="str">
        <f>IF(R116=ROUND(SUMIFS(ACOAETME2022[[#All],[Member Months]], ACOAETME2022[[#All],[Insurance Category Code]],3, ACOAETME2022[[#All],[ACO/AE or Insurer Overall Organization ID]],Q116),2), "TRUE", ROUND(R116-SUMIFS(ACOAETME2022[[#All],[Member Months]], ACOAETME2022[[#All],[Insurance Category Code]],3, ACOAETME2022[[#All],[ACO/AE or Insurer Overall Organization ID]],Q116),2))</f>
        <v>TRUE</v>
      </c>
      <c r="X116" s="6" t="str">
        <f>IF(S116=ROUND(SUMIFS(ACOAETME2022[[#All],[Total Claims Excluded because of Truncation]], ACOAETME2022[[#All],[Insurance Category Code]],3, ACOAETME2022[[#All],[ACO/AE or Insurer Overall Organization ID]],Q116),2), "TRUE", ROUND(S116-SUMIFS(ACOAETME2022[[#All],[Total Claims Excluded because of Truncation]], ACOAETME2022[[#All],[Insurance Category Code]],3, ACOAETME2022[[#All],[ACO/AE or Insurer Overall Organization ID]],Q116),2))</f>
        <v>TRUE</v>
      </c>
      <c r="Y116" s="6" t="str">
        <f>IF(T116=ROUND(SUMIFS(ACOAETME2022[[#All],[Count of Members with Claims Truncated]], ACOAETME2022[[#All],[Insurance Category Code]],3, ACOAETME2022[[#All],[ACO/AE or Insurer Overall Organization ID]],Q116),2), "TRUE", ROUND(T116-SUMIFS(ACOAETME2022[[#All],[Count of Members with Claims Truncated]], ACOAETME2022[[#All],[Insurance Category Code]],3, ACOAETME2022[[#All],[ACO/AE or Insurer Overall Organization ID]],Q116),2))</f>
        <v>TRUE</v>
      </c>
      <c r="Z116" s="6" t="str">
        <f>IF(U116=ROUND(SUMIFS(ACOAETME2022[[#All],[TOTAL Non-Truncated Unadjusted Claims Expenses]], ACOAETME2022[[#All],[Insurance Category Code]],3, ACOAETME2022[[#All],[ACO/AE or Insurer Overall Organization ID]],Q116),2), "TRUE", ROUND(U116-SUMIFS(ACOAETME2022[[#All],[TOTAL Non-Truncated Unadjusted Claims Expenses]], ACOAETME2022[[#All],[Insurance Category Code]],3, ACOAETME2022[[#All],[ACO/AE or Insurer Overall Organization ID]],Q116),2))</f>
        <v>TRUE</v>
      </c>
      <c r="AA116" s="6" t="str">
        <f>IF(V116=ROUND(SUMIFS(ACOAETME2022[[#All],[TOTAL Truncated Unadjusted Claims Expenses (A19 - A17)]], ACOAETME2022[[#All],[Insurance Category Code]],3, ACOAETME2022[[#All],[ACO/AE or Insurer Overall Organization ID]],Q116),2), "TRUE", ROUND(V116-SUMIFS(ACOAETME2022[[#All],[TOTAL Truncated Unadjusted Claims Expenses (A19 - A17)]], ACOAETME2022[[#All],[Insurance Category Code]],3, ACOAETME2022[[#All],[ACO/AE or Insurer Overall Organization ID]],Q116),2))</f>
        <v>TRUE</v>
      </c>
      <c r="AB116" s="6" t="str">
        <f t="shared" si="20"/>
        <v>TRUE</v>
      </c>
      <c r="AC116" s="6" t="b">
        <f>ROUND(SUMIFS(ACOAETME2022[[#All],[TOTAL Non-Truncated Unadjusted Claims Expenses]], ACOAETME2022[[#All],[Insurance Category Code]],3, ACOAETME2022[[#All],[ACO/AE or Insurer Overall Organization ID]],Q116), 2)&gt;=ROUND(SUMIFS(ACOAETME2022[[#All],[TOTAL Truncated Unadjusted Claims Expenses (A19 - A17)]], ACOAETME2022[[#All],[Insurance Category Code]],3, ACOAETME2022[[#All],[ACO/AE or Insurer Overall Organization ID]],Q116),2)</f>
        <v>1</v>
      </c>
      <c r="AD116" s="6" t="b">
        <f>ROUND(SUMIFS(ACOAETME2022[[#All],[TOTAL Truncated Unadjusted Claims Expenses (A19 - A17)]], ACOAETME2022[[#All],[Insurance Category Code]],3, ACOAETME2022[[#All],[ACO/AE or Insurer Overall Organization ID]],Q116)+SUMIFS(ACOAETME2022[[#All],[Total Claims Excluded because of Truncation]], ACOAETME2022[[#All],[Insurance Category Code]],3, ACOAETME2022[[#All],[ACO/AE or Insurer Overall Organization ID]],Q116),2)=ROUND(SUMIFS(ACOAETME2022[[#All],[TOTAL Non-Truncated Unadjusted Claims Expenses]], ACOAETME2022[[#All],[Insurance Category Code]],3, ACOAETME2022[[#All],[ACO/AE or Insurer Overall Organization ID]],Q116), 2)</f>
        <v>1</v>
      </c>
      <c r="AG116" s="454" t="str">
        <f t="shared" si="21"/>
        <v>NA</v>
      </c>
    </row>
    <row r="117" spans="2:33" x14ac:dyDescent="0.35">
      <c r="B117" s="115">
        <v>999</v>
      </c>
      <c r="C117" s="194">
        <f>ROUND(SUMIFS(AgeSex21[[#All],[Total Member Months by Age/Sex Band]], AgeSex21[[#All],[ACO/AE ID or Insurer Overall]], $B117, AgeSex21[[#All], [Insurance Category Code]],3), 2)</f>
        <v>0</v>
      </c>
      <c r="D117" s="452">
        <f>ROUND(SUMIFS(AgeSex21[[#All],[Total Dollars Excluded from Spending After Applying Truncation at the Member Level]], AgeSex21[[#All],[ACO/AE ID or Insurer Overall]], $B117, AgeSex21[[#All], [Insurance Category Code]],3), 2)</f>
        <v>0</v>
      </c>
      <c r="E117" s="6">
        <f>ROUND(SUMIFS(AgeSex21[[#All],[Count of Members Whose Spending was Truncated]], AgeSex21[[#All],[ACO/AE ID or Insurer Overall]], $B117, AgeSex21[[#All], [Insurance Category Code]],3), 2)</f>
        <v>0</v>
      </c>
      <c r="F117" s="452">
        <f>ROUND(SUMIFS(AgeSex21[[#All],[Total Spending before Truncation is Applied]], AgeSex21[[#All],[ACO/AE ID or Insurer Overall]], $B117, AgeSex21[[#All], [Insurance Category Code]],3), 2)</f>
        <v>0</v>
      </c>
      <c r="G117" s="452">
        <f>ROUND(SUMIFS(AgeSex21[[#All],[Total Spending After Applying Truncation at the Member Level]], AgeSex21[[#All],[ACO/AE ID or Insurer Overall]], $B117, AgeSex21[[#All], [Insurance Category Code]],3), 2)</f>
        <v>0</v>
      </c>
      <c r="H117" s="6" t="str">
        <f>IF(C117=ROUND(SUMIFS(ACOAETME2021[[#All],[Member Months]], ACOAETME2021[[#All],[Insurance Category Code]],3, ACOAETME2021[[#All],[ACO/AE or Insurer Overall Organization ID]],B117),2), "TRUE", ROUND(C117-SUMIFS(ACOAETME2021[[#All],[Member Months]], ACOAETME2021[[#All],[Insurance Category Code]],3, ACOAETME2021[[#All],[ACO/AE or Insurer Overall Organization ID]],B117),2))</f>
        <v>TRUE</v>
      </c>
      <c r="I117" s="6" t="str">
        <f>IF(D117=ROUND(SUMIFS(ACOAETME2021[[#All],[Total Claims Excluded because of Truncation]], ACOAETME2021[[#All],[Insurance Category Code]],3, ACOAETME2021[[#All],[ACO/AE or Insurer Overall Organization ID]],B117),2), "TRUE", ROUND(D117-SUMIFS(ACOAETME2021[[#All],[Total Claims Excluded because of Truncation]], ACOAETME2021[[#All],[Insurance Category Code]],3, ACOAETME2021[[#All],[ACO/AE or Insurer Overall Organization ID]],B117),2))</f>
        <v>TRUE</v>
      </c>
      <c r="J117" s="6" t="str">
        <f>IF(E117=ROUND(SUMIFS(ACOAETME2021[[#All],[Count of Members with Claims Truncated]], ACOAETME2021[[#All],[Insurance Category Code]],3, ACOAETME2021[[#All],[ACO/AE or Insurer Overall Organization ID]],B117),2), "TRUE", ROUND(E117-SUMIFS(ACOAETME2021[[#All],[Count of Members with Claims Truncated]], ACOAETME2021[[#All],[Insurance Category Code]],3, ACOAETME2021[[#All],[ACO/AE or Insurer Overall Organization ID]],B117),2))</f>
        <v>TRUE</v>
      </c>
      <c r="K117" s="535" t="str">
        <f>IF(F117=ROUND(SUMIFS(ACOAETME2021[[#All],[TOTAL Non-Truncated Unadjusted Claims Expenses]], ACOAETME2021[[#All],[Insurance Category Code]],3, ACOAETME2021[[#All],[ACO/AE or Insurer Overall Organization ID]],B117),2), "TRUE", ROUND(F117-SUMIFS(ACOAETME2021[[#All],[TOTAL Non-Truncated Unadjusted Claims Expenses]], ACOAETME2021[[#All],[Insurance Category Code]],3, ACOAETME2021[[#All],[ACO/AE or Insurer Overall Organization ID]],B117),2))</f>
        <v>TRUE</v>
      </c>
      <c r="L117" s="535" t="str">
        <f>IF(G117=ROUND(SUMIFS(ACOAETME2021[[#All],[TOTAL Truncated Unadjusted Claims Expenses (A19 - A17)]], ACOAETME2021[[#All],[Insurance Category Code]],3, ACOAETME2021[[#All],[ACO/AE or Insurer Overall Organization ID]],B117),2), "TRUE", ROUND(G117-SUMIFS(ACOAETME2021[[#All],[TOTAL Truncated Unadjusted Claims Expenses (A19 - A17)]], ACOAETME2021[[#All],[Insurance Category Code]],3, ACOAETME2021[[#All],[ACO/AE or Insurer Overall Organization ID]],B117),2))</f>
        <v>TRUE</v>
      </c>
      <c r="M117" s="6" t="str">
        <f t="shared" ref="M117" si="23">IF(E117=0, "TRUE",IF((C117/12)&gt;E117,"TRUE",(C117/12)-E117))</f>
        <v>TRUE</v>
      </c>
      <c r="N117" s="6" t="b">
        <f>ROUND(SUMIFS(ACOAETME2021[[#All],[TOTAL Non-Truncated Unadjusted Claims Expenses]], ACOAETME2021[[#All],[Insurance Category Code]],3, ACOAETME2021[[#All],[ACO/AE or Insurer Overall Organization ID]],B117), 2)&gt;=ROUND(SUMIFS(ACOAETME2021[[#All],[TOTAL Truncated Unadjusted Claims Expenses (A19 - A17)]], ACOAETME2021[[#All],[Insurance Category Code]],3, ACOAETME2021[[#All],[ACO/AE or Insurer Overall Organization ID]],B117),2)</f>
        <v>1</v>
      </c>
      <c r="O117" s="6" t="b">
        <f>ROUND(SUMIFS(ACOAETME2021[[#All],[TOTAL Truncated Unadjusted Claims Expenses (A19 - A17)]], ACOAETME2021[[#All],[Insurance Category Code]],3, ACOAETME2021[[#All],[ACO/AE or Insurer Overall Organization ID]],B117)+SUMIFS(ACOAETME2021[[#All],[Total Claims Excluded because of Truncation]], ACOAETME2021[[#All],[Insurance Category Code]],3, ACOAETME2021[[#All],[ACO/AE or Insurer Overall Organization ID]],B117),2)=ROUND(SUMIFS(ACOAETME2021[[#All],[TOTAL Non-Truncated Unadjusted Claims Expenses]], ACOAETME2021[[#All],[Insurance Category Code]],3, ACOAETME2021[[#All],[ACO/AE or Insurer Overall Organization ID]],B117), 2)</f>
        <v>1</v>
      </c>
      <c r="Q117" s="115">
        <v>999</v>
      </c>
      <c r="R117" s="194">
        <f>ROUND(SUMIFS(AgeSex22[[#All],[Total Member Months by Age/Sex Band]], AgeSex22[[#All],[ACO/AE ID or Insurer Overall]], $B117, AgeSex22[[#All], [Insurance Category Code]],3), 2)</f>
        <v>0</v>
      </c>
      <c r="S117" s="452">
        <f>ROUND(SUMIFS(AgeSex22[[#All],[Total Dollars Excluded from Spending After Applying Truncation at the Member Level]], AgeSex22[[#All],[ACO/AE ID or Insurer Overall]], $B117, AgeSex22[[#All], [Insurance Category Code]],3), 2)</f>
        <v>0</v>
      </c>
      <c r="T117" s="6">
        <f>ROUND(SUMIFS(AgeSex22[[#All],[Count of Members Whose Spending was Truncated]], AgeSex22[[#All],[ACO/AE ID or Insurer Overall]], $B117, AgeSex22[[#All], [Insurance Category Code]],3), 2)</f>
        <v>0</v>
      </c>
      <c r="U117" s="452">
        <f>ROUND(SUMIFS(AgeSex22[[#All],[Total Spending before Truncation is Applied]], AgeSex22[[#All],[ACO/AE ID or Insurer Overall]], $B117, AgeSex22[[#All], [Insurance Category Code]],3), 2)</f>
        <v>0</v>
      </c>
      <c r="V117" s="452">
        <f>ROUND(SUMIFS(AgeSex22[[#All],[Total Spending After Applying Truncation at the Member Level]], AgeSex22[[#All],[ACO/AE ID or Insurer Overall]], $B117, AgeSex22[[#All], [Insurance Category Code]],3), 2)</f>
        <v>0</v>
      </c>
      <c r="W117" s="457" t="str">
        <f>IF(R117=ROUND(SUMIFS(ACOAETME2022[[#All],[Member Months]], ACOAETME2022[[#All],[Insurance Category Code]],3, ACOAETME2022[[#All],[ACO/AE or Insurer Overall Organization ID]],Q117),2), "TRUE", ROUND(R117-SUMIFS(ACOAETME2022[[#All],[Member Months]], ACOAETME2022[[#All],[Insurance Category Code]],3, ACOAETME2022[[#All],[ACO/AE or Insurer Overall Organization ID]],Q117),2))</f>
        <v>TRUE</v>
      </c>
      <c r="X117" s="6" t="str">
        <f>IF(S117=ROUND(SUMIFS(ACOAETME2022[[#All],[Total Claims Excluded because of Truncation]], ACOAETME2022[[#All],[Insurance Category Code]],3, ACOAETME2022[[#All],[ACO/AE or Insurer Overall Organization ID]],Q117),2), "TRUE", ROUND(S117-SUMIFS(ACOAETME2022[[#All],[Total Claims Excluded because of Truncation]], ACOAETME2022[[#All],[Insurance Category Code]],3, ACOAETME2022[[#All],[ACO/AE or Insurer Overall Organization ID]],Q117),2))</f>
        <v>TRUE</v>
      </c>
      <c r="Y117" s="6" t="str">
        <f>IF(T117=ROUND(SUMIFS(ACOAETME2022[[#All],[Count of Members with Claims Truncated]], ACOAETME2022[[#All],[Insurance Category Code]],3, ACOAETME2022[[#All],[ACO/AE or Insurer Overall Organization ID]],Q117),2), "TRUE", ROUND(T117-SUMIFS(ACOAETME2022[[#All],[Count of Members with Claims Truncated]], ACOAETME2022[[#All],[Insurance Category Code]],3, ACOAETME2022[[#All],[ACO/AE or Insurer Overall Organization ID]],Q117),2))</f>
        <v>TRUE</v>
      </c>
      <c r="Z117" s="535" t="str">
        <f>IF(U117=ROUND(SUMIFS(ACOAETME2022[[#All],[TOTAL Non-Truncated Unadjusted Claims Expenses]], ACOAETME2022[[#All],[Insurance Category Code]],3, ACOAETME2022[[#All],[ACO/AE or Insurer Overall Organization ID]],Q117),2), "TRUE", ROUND(U117-SUMIFS(ACOAETME2022[[#All],[TOTAL Non-Truncated Unadjusted Claims Expenses]], ACOAETME2022[[#All],[Insurance Category Code]],3, ACOAETME2022[[#All],[ACO/AE or Insurer Overall Organization ID]],Q117),2))</f>
        <v>TRUE</v>
      </c>
      <c r="AA117" s="535" t="str">
        <f>IF(V117=ROUND(SUMIFS(ACOAETME2022[[#All],[TOTAL Truncated Unadjusted Claims Expenses (A19 - A17)]], ACOAETME2022[[#All],[Insurance Category Code]],3, ACOAETME2022[[#All],[ACO/AE or Insurer Overall Organization ID]],Q117),2), "TRUE", ROUND(V117-SUMIFS(ACOAETME2022[[#All],[TOTAL Truncated Unadjusted Claims Expenses (A19 - A17)]], ACOAETME2022[[#All],[Insurance Category Code]],3, ACOAETME2022[[#All],[ACO/AE or Insurer Overall Organization ID]],Q117),2))</f>
        <v>TRUE</v>
      </c>
      <c r="AB117" s="6" t="str">
        <f t="shared" si="20"/>
        <v>TRUE</v>
      </c>
      <c r="AC117" s="6" t="b">
        <f>ROUND(SUMIFS(ACOAETME2022[[#All],[TOTAL Non-Truncated Unadjusted Claims Expenses]], ACOAETME2022[[#All],[Insurance Category Code]],3, ACOAETME2022[[#All],[ACO/AE or Insurer Overall Organization ID]],Q117), 2)&gt;=ROUND(SUMIFS(ACOAETME2022[[#All],[TOTAL Truncated Unadjusted Claims Expenses (A19 - A17)]], ACOAETME2022[[#All],[Insurance Category Code]],3, ACOAETME2022[[#All],[ACO/AE or Insurer Overall Organization ID]],Q117),2)</f>
        <v>1</v>
      </c>
      <c r="AD117" s="6" t="b">
        <f>ROUND(SUMIFS(ACOAETME2022[[#All],[TOTAL Truncated Unadjusted Claims Expenses (A19 - A17)]], ACOAETME2022[[#All],[Insurance Category Code]],3, ACOAETME2022[[#All],[ACO/AE or Insurer Overall Organization ID]],Q117)+SUMIFS(ACOAETME2022[[#All],[Total Claims Excluded because of Truncation]], ACOAETME2022[[#All],[Insurance Category Code]],3, ACOAETME2022[[#All],[ACO/AE or Insurer Overall Organization ID]],Q117),2)=ROUND(SUMIFS(ACOAETME2022[[#All],[TOTAL Non-Truncated Unadjusted Claims Expenses]], ACOAETME2022[[#All],[Insurance Category Code]],3, ACOAETME2022[[#All],[ACO/AE or Insurer Overall Organization ID]],Q117), 2)</f>
        <v>1</v>
      </c>
      <c r="AG117" s="454" t="str">
        <f t="shared" si="21"/>
        <v>NA</v>
      </c>
    </row>
    <row r="118" spans="2:33" x14ac:dyDescent="0.35">
      <c r="B118" s="15"/>
      <c r="C118" s="12"/>
    </row>
    <row r="119" spans="2:33" ht="15" thickBot="1" x14ac:dyDescent="0.4">
      <c r="B119" s="15"/>
      <c r="C119" s="12"/>
    </row>
    <row r="120" spans="2:33" ht="24" thickBot="1" x14ac:dyDescent="0.6">
      <c r="B120" s="433" t="s">
        <v>709</v>
      </c>
      <c r="C120" s="594" t="s">
        <v>696</v>
      </c>
      <c r="D120" s="595"/>
      <c r="E120" s="595"/>
      <c r="F120" s="595"/>
      <c r="G120" s="596"/>
      <c r="H120" s="597" t="s">
        <v>697</v>
      </c>
      <c r="I120" s="598"/>
      <c r="J120" s="598"/>
      <c r="K120" s="598"/>
      <c r="L120" s="599"/>
      <c r="M120" s="591" t="s">
        <v>698</v>
      </c>
      <c r="N120" s="592"/>
      <c r="O120" s="593"/>
      <c r="R120" s="594" t="s">
        <v>711</v>
      </c>
      <c r="S120" s="595"/>
      <c r="T120" s="595"/>
      <c r="U120" s="595"/>
      <c r="V120" s="596"/>
      <c r="W120" s="597" t="s">
        <v>712</v>
      </c>
      <c r="X120" s="598"/>
      <c r="Y120" s="598"/>
      <c r="Z120" s="598"/>
      <c r="AA120" s="599"/>
      <c r="AB120" s="591" t="s">
        <v>698</v>
      </c>
      <c r="AC120" s="592"/>
      <c r="AD120" s="593"/>
    </row>
    <row r="121" spans="2:33" ht="87" x14ac:dyDescent="0.35">
      <c r="B121" s="434" t="s">
        <v>695</v>
      </c>
      <c r="C121" s="432" t="s">
        <v>228</v>
      </c>
      <c r="D121" s="424" t="s">
        <v>195</v>
      </c>
      <c r="E121" s="424" t="s">
        <v>699</v>
      </c>
      <c r="F121" s="424" t="s">
        <v>244</v>
      </c>
      <c r="G121" s="425" t="s">
        <v>194</v>
      </c>
      <c r="H121" s="426" t="s">
        <v>87</v>
      </c>
      <c r="I121" s="427" t="s">
        <v>700</v>
      </c>
      <c r="J121" s="427" t="s">
        <v>701</v>
      </c>
      <c r="K121" s="427" t="s">
        <v>702</v>
      </c>
      <c r="L121" s="428" t="s">
        <v>703</v>
      </c>
      <c r="M121" s="429" t="s">
        <v>704</v>
      </c>
      <c r="N121" s="430" t="s">
        <v>705</v>
      </c>
      <c r="O121" s="431" t="s">
        <v>706</v>
      </c>
      <c r="Q121" s="434" t="s">
        <v>695</v>
      </c>
      <c r="R121" s="432" t="s">
        <v>228</v>
      </c>
      <c r="S121" s="424" t="s">
        <v>195</v>
      </c>
      <c r="T121" s="424" t="s">
        <v>699</v>
      </c>
      <c r="U121" s="424" t="s">
        <v>244</v>
      </c>
      <c r="V121" s="425" t="s">
        <v>194</v>
      </c>
      <c r="W121" s="426" t="s">
        <v>87</v>
      </c>
      <c r="X121" s="427" t="s">
        <v>700</v>
      </c>
      <c r="Y121" s="427" t="s">
        <v>701</v>
      </c>
      <c r="Z121" s="427" t="s">
        <v>702</v>
      </c>
      <c r="AA121" s="428" t="s">
        <v>703</v>
      </c>
      <c r="AB121" s="429" t="s">
        <v>704</v>
      </c>
      <c r="AC121" s="430" t="s">
        <v>705</v>
      </c>
      <c r="AD121" s="431" t="s">
        <v>706</v>
      </c>
      <c r="AG121" s="484" t="s">
        <v>752</v>
      </c>
    </row>
    <row r="122" spans="2:33" x14ac:dyDescent="0.35">
      <c r="B122" s="115">
        <v>100</v>
      </c>
      <c r="C122" s="192">
        <f>ROUND(SUMIFS(AgeSex21[[#All],[Total Member Months by Age/Sex Band]], AgeSex21[[#All],[ACO/AE ID or Insurer Overall]], $B122, AgeSex21[[#All], [Insurance Category Code]],4), 2)</f>
        <v>0</v>
      </c>
      <c r="D122" s="452">
        <f>ROUND(SUMIFS(AgeSex21[[#All],[Total Dollars Excluded from Spending After Applying Truncation at the Member Level]], AgeSex21[[#All],[ACO/AE ID or Insurer Overall]], $B122, AgeSex21[[#All], [Insurance Category Code]],4), 2)</f>
        <v>0</v>
      </c>
      <c r="E122" s="6">
        <f>ROUND(SUMIFS(AgeSex21[[#All],[Count of Members Whose Spending was Truncated]], AgeSex21[[#All],[ACO/AE ID or Insurer Overall]], $B122, AgeSex21[[#All], [Insurance Category Code]],4), 2)</f>
        <v>0</v>
      </c>
      <c r="F122" s="452">
        <f>ROUND(SUMIFS(AgeSex21[[#All],[Total Spending before Truncation is Applied]], AgeSex21[[#All],[ACO/AE ID or Insurer Overall]], $B122, AgeSex21[[#All], [Insurance Category Code]],4), 2)</f>
        <v>0</v>
      </c>
      <c r="G122" s="452">
        <f>ROUND(SUMIFS(AgeSex21[[#All],[Total Spending After Applying Truncation at the Member Level]], AgeSex21[[#All],[ACO/AE ID or Insurer Overall]], $B122, AgeSex21[[#All], [Insurance Category Code]],4), 2)</f>
        <v>0</v>
      </c>
      <c r="H122" s="6" t="str">
        <f>IF(C122=ROUND(SUMIFS(ACOAETME2021[[#All],[Member Months]], ACOAETME2021[[#All],[Insurance Category Code]],4, ACOAETME2021[[#All],[ACO/AE or Insurer Overall Organization ID]],B122),2), "TRUE", ROUND(C122-SUMIFS(ACOAETME2021[[#All],[Member Months]], ACOAETME2021[[#All],[Insurance Category Code]],4, ACOAETME2021[[#All],[ACO/AE or Insurer Overall Organization ID]],B122),2))</f>
        <v>TRUE</v>
      </c>
      <c r="I122" s="6" t="str">
        <f>IF(D122=ROUND(SUMIFS(ACOAETME2021[[#All],[Total Claims Excluded because of Truncation]], ACOAETME2021[[#All],[Insurance Category Code]],4, ACOAETME2021[[#All],[ACO/AE or Insurer Overall Organization ID]],B122),2), "TRUE", ROUND(D122-SUMIFS(ACOAETME2021[[#All],[Total Claims Excluded because of Truncation]], ACOAETME2021[[#All],[Insurance Category Code]],4, ACOAETME2021[[#All],[ACO/AE or Insurer Overall Organization ID]],B122),2))</f>
        <v>TRUE</v>
      </c>
      <c r="J122" s="6" t="str">
        <f>IF(E122=ROUND(SUMIFS(ACOAETME2021[[#All],[Count of Members with Claims Truncated]], ACOAETME2021[[#All],[Insurance Category Code]],4,ACOAETME2021[[#All],[ACO/AE or Insurer Overall Organization ID]],B122),2), "TRUE", ROUND(E122-SUMIFS(ACOAETME2021[[#All],[Count of Members with Claims Truncated]], ACOAETME2021[[#All],[Insurance Category Code]],4, ACOAETME2021[[#All],[ACO/AE or Insurer Overall Organization ID]],B122),2))</f>
        <v>TRUE</v>
      </c>
      <c r="K122" s="6" t="str">
        <f>IF(F122=ROUND(SUMIFS(ACOAETME2021[[#All],[TOTAL Non-Truncated Unadjusted Claims Expenses]], ACOAETME2021[[#All],[Insurance Category Code]],4, ACOAETME2021[[#All],[ACO/AE or Insurer Overall Organization ID]],B122),2), "TRUE", ROUND(F122-SUMIFS(ACOAETME2021[[#All],[TOTAL Non-Truncated Unadjusted Claims Expenses]], ACOAETME2021[[#All],[Insurance Category Code]],4, ACOAETME2021[[#All],[ACO/AE or Insurer Overall Organization ID]],B122),2))</f>
        <v>TRUE</v>
      </c>
      <c r="L122" s="6" t="str">
        <f>IF(G122=ROUND(SUMIFS(ACOAETME2021[[#All],[TOTAL Truncated Unadjusted Claims Expenses (A19 - A17)]], ACOAETME2021[[#All],[Insurance Category Code]],4, ACOAETME2021[[#All],[ACO/AE or Insurer Overall Organization ID]],B122),2), "TRUE", ROUND(G122-SUMIFS(ACOAETME2021[[#All],[TOTAL Truncated Unadjusted Claims Expenses (A19 - A17)]], ACOAETME2021[[#All],[Insurance Category Code]],4, ACOAETME2021[[#All],[ACO/AE or Insurer Overall Organization ID]],B122),2))</f>
        <v>TRUE</v>
      </c>
      <c r="M122" s="6" t="str">
        <f t="shared" ref="M122" si="24">IF(E122=0, "TRUE",IF((C122/12)&gt;E122,"TRUE",(C122/12)-E122))</f>
        <v>TRUE</v>
      </c>
      <c r="N122" s="6" t="b">
        <f>ROUND(SUMIFS(ACOAETME2021[[#All],[TOTAL Non-Truncated Unadjusted Claims Expenses]], ACOAETME2021[[#All],[Insurance Category Code]],4, ACOAETME2021[[#All],[ACO/AE or Insurer Overall Organization ID]],B122), 2)&gt;=ROUND(SUMIFS(ACOAETME2021[[#All],[TOTAL Truncated Unadjusted Claims Expenses (A19 - A17)]], ACOAETME2021[[#All],[Insurance Category Code]],4, ACOAETME2021[[#All],[ACO/AE or Insurer Overall Organization ID]],B122),2)</f>
        <v>1</v>
      </c>
      <c r="O122" s="6" t="b">
        <f>ROUND(SUMIFS(ACOAETME2021[[#All],[TOTAL Truncated Unadjusted Claims Expenses (A19 - A17)]], ACOAETME2021[[#All],[Insurance Category Code]],4, ACOAETME2021[[#All],[ACO/AE or Insurer Overall Organization ID]],B122)+SUMIFS(ACOAETME2021[[#All],[Total Claims Excluded because of Truncation]], ACOAETME2021[[#All],[Insurance Category Code]],4, ACOAETME2021[[#All],[ACO/AE or Insurer Overall Organization ID]],B122),2)=ROUND(SUMIFS(ACOAETME2021[[#All],[TOTAL Non-Truncated Unadjusted Claims Expenses]], ACOAETME2021[[#All],[Insurance Category Code]],4, ACOAETME2021[[#All],[ACO/AE or Insurer Overall Organization ID]],B122), 2)</f>
        <v>1</v>
      </c>
      <c r="Q122" s="115">
        <v>100</v>
      </c>
      <c r="R122" s="192">
        <f>ROUND(SUMIFS(AgeSex22[[#All],[Total Member Months by Age/Sex Band]], AgeSex22[[#All],[ACO/AE ID or Insurer Overall]], $B122, AgeSex22[[#All], [Insurance Category Code]],4), 2)</f>
        <v>0</v>
      </c>
      <c r="S122" s="452">
        <f>ROUND(SUMIFS(AgeSex22[[#All],[Total Dollars Excluded from Spending After Applying Truncation at the Member Level]], AgeSex22[[#All],[ACO/AE ID or Insurer Overall]], $B122, AgeSex22[[#All], [Insurance Category Code]],4), 2)</f>
        <v>0</v>
      </c>
      <c r="T122" s="6">
        <f>ROUND(SUMIFS(AgeSex22[[#All],[Count of Members Whose Spending was Truncated]], AgeSex22[[#All],[ACO/AE ID or Insurer Overall]], $B122, AgeSex22[[#All], [Insurance Category Code]],4), 2)</f>
        <v>0</v>
      </c>
      <c r="U122" s="452">
        <f>ROUND(SUMIFS(AgeSex22[[#All],[Total Spending before Truncation is Applied]], AgeSex22[[#All],[ACO/AE ID or Insurer Overall]], $B122, AgeSex22[[#All], [Insurance Category Code]],4), 2)</f>
        <v>0</v>
      </c>
      <c r="V122" s="452">
        <f>ROUND(SUMIFS(AgeSex22[[#All],[Total Spending After Applying Truncation at the Member Level]], AgeSex22[[#All],[ACO/AE ID or Insurer Overall]], $B122, AgeSex22[[#All], [Insurance Category Code]],4), 2)</f>
        <v>0</v>
      </c>
      <c r="W122" s="457" t="str">
        <f>IF(R122=ROUND(SUMIFS(ACOAETME2022[[#All],[Member Months]], ACOAETME2022[[#All],[Insurance Category Code]],4, ACOAETME2022[[#All],[ACO/AE or Insurer Overall Organization ID]],Q122),2), "TRUE", ROUND(R122-SUMIFS(ACOAETME2022[[#All],[Member Months]], ACOAETME2022[[#All],[Insurance Category Code]],4, ACOAETME2022[[#All],[ACO/AE or Insurer Overall Organization ID]],Q122),2))</f>
        <v>TRUE</v>
      </c>
      <c r="X122" s="6" t="str">
        <f>IF(S122=ROUND(SUMIFS(ACOAETME2022[[#All],[Total Claims Excluded because of Truncation]], ACOAETME2022[[#All],[Insurance Category Code]],4, ACOAETME2022[[#All],[ACO/AE or Insurer Overall Organization ID]],Q122),2), "TRUE", ROUND(S122-SUMIFS(ACOAETME2022[[#All],[Total Claims Excluded because of Truncation]], ACOAETME2022[[#All],[Insurance Category Code]],4, ACOAETME2022[[#All],[ACO/AE or Insurer Overall Organization ID]],Q122),2))</f>
        <v>TRUE</v>
      </c>
      <c r="Y122" s="6" t="str">
        <f>IF(T122=ROUND(SUMIFS(ACOAETME2022[[#All],[Count of Members with Claims Truncated]], ACOAETME2022[[#All],[Insurance Category Code]],4,ACOAETME2022[[#All],[ACO/AE or Insurer Overall Organization ID]],Q122),2), "TRUE", ROUND(T122-SUMIFS(ACOAETME2022[[#All],[Count of Members with Claims Truncated]], ACOAETME2022[[#All],[Insurance Category Code]],4, ACOAETME2022[[#All],[ACO/AE or Insurer Overall Organization ID]],Q122),2))</f>
        <v>TRUE</v>
      </c>
      <c r="Z122" s="6" t="str">
        <f>IF(U122=ROUND(SUMIFS(ACOAETME2022[[#All],[TOTAL Non-Truncated Unadjusted Claims Expenses]], ACOAETME2022[[#All],[Insurance Category Code]],4, ACOAETME2022[[#All],[ACO/AE or Insurer Overall Organization ID]],Q122),2), "TRUE", ROUND(U122-SUMIFS(ACOAETME2022[[#All],[TOTAL Non-Truncated Unadjusted Claims Expenses]], ACOAETME2022[[#All],[Insurance Category Code]],4, ACOAETME2022[[#All],[ACO/AE or Insurer Overall Organization ID]],Q122),2))</f>
        <v>TRUE</v>
      </c>
      <c r="AA122" s="6" t="str">
        <f>IF(V122=ROUND(SUMIFS(ACOAETME2022[[#All],[TOTAL Truncated Unadjusted Claims Expenses (A19 - A17)]], ACOAETME2022[[#All],[Insurance Category Code]],4, ACOAETME2022[[#All],[ACO/AE or Insurer Overall Organization ID]],Q122),2), "TRUE", ROUND(V122-SUMIFS(ACOAETME2022[[#All],[TOTAL Truncated Unadjusted Claims Expenses (A19 - A17)]], ACOAETME2022[[#All],[Insurance Category Code]],4, ACOAETME2022[[#All],[ACO/AE or Insurer Overall Organization ID]],Q122),2))</f>
        <v>TRUE</v>
      </c>
      <c r="AB122" s="6" t="str">
        <f t="shared" ref="AB122:AB131" si="25">IF(T122=0, "TRUE",IF((R122/12)&gt;T122,"TRUE",(R122/12)-T122))</f>
        <v>TRUE</v>
      </c>
      <c r="AC122" s="6" t="b">
        <f>ROUND(SUMIFS(ACOAETME2022[[#All],[TOTAL Non-Truncated Unadjusted Claims Expenses]], ACOAETME2022[[#All],[Insurance Category Code]],4, ACOAETME2022[[#All],[ACO/AE or Insurer Overall Organization ID]],Q122), 2)&gt;=ROUND(SUMIFS(ACOAETME2022[[#All],[TOTAL Truncated Unadjusted Claims Expenses (A19 - A17)]], ACOAETME2022[[#All],[Insurance Category Code]],4, ACOAETME2022[[#All],[ACO/AE or Insurer Overall Organization ID]],Q122),2)</f>
        <v>1</v>
      </c>
      <c r="AD122" s="6" t="b">
        <f>ROUND(SUMIFS(ACOAETME2022[[#All],[TOTAL Truncated Unadjusted Claims Expenses (A19 - A17)]], ACOAETME2022[[#All],[Insurance Category Code]],4, ACOAETME2022[[#All],[ACO/AE or Insurer Overall Organization ID]],Q122)+SUMIFS(ACOAETME2022[[#All],[Total Claims Excluded because of Truncation]], ACOAETME2022[[#All],[Insurance Category Code]],4, ACOAETME2022[[#All],[ACO/AE or Insurer Overall Organization ID]],Q122),2)=ROUND(SUMIFS(ACOAETME2022[[#All],[TOTAL Non-Truncated Unadjusted Claims Expenses]], ACOAETME2022[[#All],[Insurance Category Code]],4, ACOAETME2022[[#All],[ACO/AE or Insurer Overall Organization ID]],Q122), 2)</f>
        <v>1</v>
      </c>
      <c r="AG122" s="454" t="str">
        <f t="shared" ref="AG122:AG131" si="26">IFERROR(R122/C122-1, "NA")</f>
        <v>NA</v>
      </c>
    </row>
    <row r="123" spans="2:33" x14ac:dyDescent="0.35">
      <c r="B123" s="115">
        <v>101</v>
      </c>
      <c r="C123" s="192">
        <f>ROUND(SUMIFS(AgeSex21[[#All],[Total Member Months by Age/Sex Band]], AgeSex21[[#All],[ACO/AE ID or Insurer Overall]], $B123, AgeSex21[[#All], [Insurance Category Code]],4), 2)</f>
        <v>0</v>
      </c>
      <c r="D123" s="452">
        <f>ROUND(SUMIFS(AgeSex21[[#All],[Total Dollars Excluded from Spending After Applying Truncation at the Member Level]], AgeSex21[[#All],[ACO/AE ID or Insurer Overall]], $B123, AgeSex21[[#All], [Insurance Category Code]],4), 2)</f>
        <v>0</v>
      </c>
      <c r="E123" s="6">
        <f>ROUND(SUMIFS(AgeSex21[[#All],[Count of Members Whose Spending was Truncated]], AgeSex21[[#All],[ACO/AE ID or Insurer Overall]], $B123, AgeSex21[[#All], [Insurance Category Code]],4), 2)</f>
        <v>0</v>
      </c>
      <c r="F123" s="452">
        <f>ROUND(SUMIFS(AgeSex21[[#All],[Total Spending before Truncation is Applied]], AgeSex21[[#All],[ACO/AE ID or Insurer Overall]], $B123, AgeSex21[[#All], [Insurance Category Code]],4), 2)</f>
        <v>0</v>
      </c>
      <c r="G123" s="452">
        <f>ROUND(SUMIFS(AgeSex21[[#All],[Total Spending After Applying Truncation at the Member Level]], AgeSex21[[#All],[ACO/AE ID or Insurer Overall]], $B123, AgeSex21[[#All], [Insurance Category Code]],4), 2)</f>
        <v>0</v>
      </c>
      <c r="H123" s="6" t="str">
        <f>IF(C123=ROUND(SUMIFS(ACOAETME2021[[#All],[Member Months]], ACOAETME2021[[#All],[Insurance Category Code]],4, ACOAETME2021[[#All],[ACO/AE or Insurer Overall Organization ID]],B123),2), "TRUE", ROUND(C123-SUMIFS(ACOAETME2021[[#All],[Member Months]], ACOAETME2021[[#All],[Insurance Category Code]],4, ACOAETME2021[[#All],[ACO/AE or Insurer Overall Organization ID]],B123),2))</f>
        <v>TRUE</v>
      </c>
      <c r="I123" s="6" t="str">
        <f>IF(D123=ROUND(SUMIFS(ACOAETME2021[[#All],[Total Claims Excluded because of Truncation]], ACOAETME2021[[#All],[Insurance Category Code]],4, ACOAETME2021[[#All],[ACO/AE or Insurer Overall Organization ID]],B123),2), "TRUE", ROUND(D123-SUMIFS(ACOAETME2021[[#All],[Total Claims Excluded because of Truncation]], ACOAETME2021[[#All],[Insurance Category Code]],4, ACOAETME2021[[#All],[ACO/AE or Insurer Overall Organization ID]],B123),2))</f>
        <v>TRUE</v>
      </c>
      <c r="J123" s="6" t="str">
        <f>IF(E123=ROUND(SUMIFS(ACOAETME2021[[#All],[Count of Members with Claims Truncated]], ACOAETME2021[[#All],[Insurance Category Code]],4,ACOAETME2021[[#All],[ACO/AE or Insurer Overall Organization ID]],B123),2), "TRUE", ROUND(E123-SUMIFS(ACOAETME2021[[#All],[Count of Members with Claims Truncated]], ACOAETME2021[[#All],[Insurance Category Code]],4, ACOAETME2021[[#All],[ACO/AE or Insurer Overall Organization ID]],B123),2))</f>
        <v>TRUE</v>
      </c>
      <c r="K123" s="6" t="str">
        <f>IF(F123=ROUND(SUMIFS(ACOAETME2021[[#All],[TOTAL Non-Truncated Unadjusted Claims Expenses]], ACOAETME2021[[#All],[Insurance Category Code]],4, ACOAETME2021[[#All],[ACO/AE or Insurer Overall Organization ID]],B123),2), "TRUE", ROUND(F123-SUMIFS(ACOAETME2021[[#All],[TOTAL Non-Truncated Unadjusted Claims Expenses]], ACOAETME2021[[#All],[Insurance Category Code]],4, ACOAETME2021[[#All],[ACO/AE or Insurer Overall Organization ID]],B123),2))</f>
        <v>TRUE</v>
      </c>
      <c r="L123" s="6" t="str">
        <f>IF(G123=ROUND(SUMIFS(ACOAETME2021[[#All],[TOTAL Truncated Unadjusted Claims Expenses (A19 - A17)]], ACOAETME2021[[#All],[Insurance Category Code]],4, ACOAETME2021[[#All],[ACO/AE or Insurer Overall Organization ID]],B123),2), "TRUE", ROUND(G123-SUMIFS(ACOAETME2021[[#All],[TOTAL Truncated Unadjusted Claims Expenses (A19 - A17)]], ACOAETME2021[[#All],[Insurance Category Code]],4, ACOAETME2021[[#All],[ACO/AE or Insurer Overall Organization ID]],B123),2))</f>
        <v>TRUE</v>
      </c>
      <c r="M123" s="6" t="str">
        <f t="shared" ref="M123:M130" si="27">IF(E123=0, "TRUE",IF((C123/12)&gt;E123,"TRUE",(C123/12)-E123))</f>
        <v>TRUE</v>
      </c>
      <c r="N123" s="6" t="b">
        <f>ROUND(SUMIFS(ACOAETME2021[[#All],[TOTAL Non-Truncated Unadjusted Claims Expenses]], ACOAETME2021[[#All],[Insurance Category Code]],4, ACOAETME2021[[#All],[ACO/AE or Insurer Overall Organization ID]],B123), 2)&gt;=ROUND(SUMIFS(ACOAETME2021[[#All],[TOTAL Truncated Unadjusted Claims Expenses (A19 - A17)]], ACOAETME2021[[#All],[Insurance Category Code]],4, ACOAETME2021[[#All],[ACO/AE or Insurer Overall Organization ID]],B123),2)</f>
        <v>1</v>
      </c>
      <c r="O123" s="6" t="b">
        <f>ROUND(SUMIFS(ACOAETME2021[[#All],[TOTAL Truncated Unadjusted Claims Expenses (A19 - A17)]], ACOAETME2021[[#All],[Insurance Category Code]],4, ACOAETME2021[[#All],[ACO/AE or Insurer Overall Organization ID]],B123)+SUMIFS(ACOAETME2021[[#All],[Total Claims Excluded because of Truncation]], ACOAETME2021[[#All],[Insurance Category Code]],4, ACOAETME2021[[#All],[ACO/AE or Insurer Overall Organization ID]],B123),2)=ROUND(SUMIFS(ACOAETME2021[[#All],[TOTAL Non-Truncated Unadjusted Claims Expenses]], ACOAETME2021[[#All],[Insurance Category Code]],4, ACOAETME2021[[#All],[ACO/AE or Insurer Overall Organization ID]],B123), 2)</f>
        <v>1</v>
      </c>
      <c r="Q123" s="115">
        <v>101</v>
      </c>
      <c r="R123" s="192">
        <f>ROUND(SUMIFS(AgeSex22[[#All],[Total Member Months by Age/Sex Band]], AgeSex22[[#All],[ACO/AE ID or Insurer Overall]], $B123, AgeSex22[[#All], [Insurance Category Code]],4), 2)</f>
        <v>0</v>
      </c>
      <c r="S123" s="452">
        <f>ROUND(SUMIFS(AgeSex22[[#All],[Total Dollars Excluded from Spending After Applying Truncation at the Member Level]], AgeSex22[[#All],[ACO/AE ID or Insurer Overall]], $B123, AgeSex22[[#All], [Insurance Category Code]],4), 2)</f>
        <v>0</v>
      </c>
      <c r="T123" s="6">
        <f>ROUND(SUMIFS(AgeSex22[[#All],[Count of Members Whose Spending was Truncated]], AgeSex22[[#All],[ACO/AE ID or Insurer Overall]], $B123, AgeSex22[[#All], [Insurance Category Code]],4), 2)</f>
        <v>0</v>
      </c>
      <c r="U123" s="452">
        <f>ROUND(SUMIFS(AgeSex22[[#All],[Total Spending before Truncation is Applied]], AgeSex22[[#All],[ACO/AE ID or Insurer Overall]], $B123, AgeSex22[[#All], [Insurance Category Code]],4), 2)</f>
        <v>0</v>
      </c>
      <c r="V123" s="452">
        <f>ROUND(SUMIFS(AgeSex22[[#All],[Total Spending After Applying Truncation at the Member Level]], AgeSex22[[#All],[ACO/AE ID or Insurer Overall]], $B123, AgeSex22[[#All], [Insurance Category Code]],4), 2)</f>
        <v>0</v>
      </c>
      <c r="W123" s="457" t="str">
        <f>IF(R123=ROUND(SUMIFS(ACOAETME2022[[#All],[Member Months]], ACOAETME2022[[#All],[Insurance Category Code]],4, ACOAETME2022[[#All],[ACO/AE or Insurer Overall Organization ID]],Q123),2), "TRUE", ROUND(R123-SUMIFS(ACOAETME2022[[#All],[Member Months]], ACOAETME2022[[#All],[Insurance Category Code]],4, ACOAETME2022[[#All],[ACO/AE or Insurer Overall Organization ID]],Q123),2))</f>
        <v>TRUE</v>
      </c>
      <c r="X123" s="6" t="str">
        <f>IF(S123=ROUND(SUMIFS(ACOAETME2022[[#All],[Total Claims Excluded because of Truncation]], ACOAETME2022[[#All],[Insurance Category Code]],4, ACOAETME2022[[#All],[ACO/AE or Insurer Overall Organization ID]],Q123),2), "TRUE", ROUND(S123-SUMIFS(ACOAETME2022[[#All],[Total Claims Excluded because of Truncation]], ACOAETME2022[[#All],[Insurance Category Code]],4, ACOAETME2022[[#All],[ACO/AE or Insurer Overall Organization ID]],Q123),2))</f>
        <v>TRUE</v>
      </c>
      <c r="Y123" s="6" t="str">
        <f>IF(T123=ROUND(SUMIFS(ACOAETME2022[[#All],[Count of Members with Claims Truncated]], ACOAETME2022[[#All],[Insurance Category Code]],4,ACOAETME2022[[#All],[ACO/AE or Insurer Overall Organization ID]],Q123),2), "TRUE", ROUND(T123-SUMIFS(ACOAETME2022[[#All],[Count of Members with Claims Truncated]], ACOAETME2022[[#All],[Insurance Category Code]],4, ACOAETME2022[[#All],[ACO/AE or Insurer Overall Organization ID]],Q123),2))</f>
        <v>TRUE</v>
      </c>
      <c r="Z123" s="6" t="str">
        <f>IF(U123=ROUND(SUMIFS(ACOAETME2022[[#All],[TOTAL Non-Truncated Unadjusted Claims Expenses]], ACOAETME2022[[#All],[Insurance Category Code]],4, ACOAETME2022[[#All],[ACO/AE or Insurer Overall Organization ID]],Q123),2), "TRUE", ROUND(U123-SUMIFS(ACOAETME2022[[#All],[TOTAL Non-Truncated Unadjusted Claims Expenses]], ACOAETME2022[[#All],[Insurance Category Code]],4, ACOAETME2022[[#All],[ACO/AE or Insurer Overall Organization ID]],Q123),2))</f>
        <v>TRUE</v>
      </c>
      <c r="AA123" s="6" t="str">
        <f>IF(V123=ROUND(SUMIFS(ACOAETME2022[[#All],[TOTAL Truncated Unadjusted Claims Expenses (A19 - A17)]], ACOAETME2022[[#All],[Insurance Category Code]],4, ACOAETME2022[[#All],[ACO/AE or Insurer Overall Organization ID]],Q123),2), "TRUE", ROUND(V123-SUMIFS(ACOAETME2022[[#All],[TOTAL Truncated Unadjusted Claims Expenses (A19 - A17)]], ACOAETME2022[[#All],[Insurance Category Code]],4, ACOAETME2022[[#All],[ACO/AE or Insurer Overall Organization ID]],Q123),2))</f>
        <v>TRUE</v>
      </c>
      <c r="AB123" s="6" t="str">
        <f t="shared" si="25"/>
        <v>TRUE</v>
      </c>
      <c r="AC123" s="6" t="b">
        <f>ROUND(SUMIFS(ACOAETME2022[[#All],[TOTAL Non-Truncated Unadjusted Claims Expenses]], ACOAETME2022[[#All],[Insurance Category Code]],4, ACOAETME2022[[#All],[ACO/AE or Insurer Overall Organization ID]],Q123), 2)&gt;=ROUND(SUMIFS(ACOAETME2022[[#All],[TOTAL Truncated Unadjusted Claims Expenses (A19 - A17)]], ACOAETME2022[[#All],[Insurance Category Code]],4, ACOAETME2022[[#All],[ACO/AE or Insurer Overall Organization ID]],Q123),2)</f>
        <v>1</v>
      </c>
      <c r="AD123" s="6" t="b">
        <f>ROUND(SUMIFS(ACOAETME2022[[#All],[TOTAL Truncated Unadjusted Claims Expenses (A19 - A17)]], ACOAETME2022[[#All],[Insurance Category Code]],4, ACOAETME2022[[#All],[ACO/AE or Insurer Overall Organization ID]],Q123)+SUMIFS(ACOAETME2022[[#All],[Total Claims Excluded because of Truncation]], ACOAETME2022[[#All],[Insurance Category Code]],4, ACOAETME2022[[#All],[ACO/AE or Insurer Overall Organization ID]],Q123),2)=ROUND(SUMIFS(ACOAETME2022[[#All],[TOTAL Non-Truncated Unadjusted Claims Expenses]], ACOAETME2022[[#All],[Insurance Category Code]],4, ACOAETME2022[[#All],[ACO/AE or Insurer Overall Organization ID]],Q123), 2)</f>
        <v>1</v>
      </c>
      <c r="AG123" s="454" t="str">
        <f t="shared" si="26"/>
        <v>NA</v>
      </c>
    </row>
    <row r="124" spans="2:33" x14ac:dyDescent="0.35">
      <c r="B124" s="115">
        <v>102</v>
      </c>
      <c r="C124" s="192">
        <f>ROUND(SUMIFS(AgeSex21[[#All],[Total Member Months by Age/Sex Band]], AgeSex21[[#All],[ACO/AE ID or Insurer Overall]], $B124, AgeSex21[[#All], [Insurance Category Code]],4), 2)</f>
        <v>0</v>
      </c>
      <c r="D124" s="452">
        <f>ROUND(SUMIFS(AgeSex21[[#All],[Total Dollars Excluded from Spending After Applying Truncation at the Member Level]], AgeSex21[[#All],[ACO/AE ID or Insurer Overall]], $B124, AgeSex21[[#All], [Insurance Category Code]],4), 2)</f>
        <v>0</v>
      </c>
      <c r="E124" s="6">
        <f>ROUND(SUMIFS(AgeSex21[[#All],[Count of Members Whose Spending was Truncated]], AgeSex21[[#All],[ACO/AE ID or Insurer Overall]], $B124, AgeSex21[[#All], [Insurance Category Code]],4), 2)</f>
        <v>0</v>
      </c>
      <c r="F124" s="452">
        <f>ROUND(SUMIFS(AgeSex21[[#All],[Total Spending before Truncation is Applied]], AgeSex21[[#All],[ACO/AE ID or Insurer Overall]], $B124, AgeSex21[[#All], [Insurance Category Code]],4), 2)</f>
        <v>0</v>
      </c>
      <c r="G124" s="452">
        <f>ROUND(SUMIFS(AgeSex21[[#All],[Total Spending After Applying Truncation at the Member Level]], AgeSex21[[#All],[ACO/AE ID or Insurer Overall]], $B124, AgeSex21[[#All], [Insurance Category Code]],4), 2)</f>
        <v>0</v>
      </c>
      <c r="H124" s="6" t="str">
        <f>IF(C124=ROUND(SUMIFS(ACOAETME2021[[#All],[Member Months]], ACOAETME2021[[#All],[Insurance Category Code]],4, ACOAETME2021[[#All],[ACO/AE or Insurer Overall Organization ID]],B124),2), "TRUE", ROUND(C124-SUMIFS(ACOAETME2021[[#All],[Member Months]], ACOAETME2021[[#All],[Insurance Category Code]],4, ACOAETME2021[[#All],[ACO/AE or Insurer Overall Organization ID]],B124),2))</f>
        <v>TRUE</v>
      </c>
      <c r="I124" s="6" t="str">
        <f>IF(D124=ROUND(SUMIFS(ACOAETME2021[[#All],[Total Claims Excluded because of Truncation]], ACOAETME2021[[#All],[Insurance Category Code]],4, ACOAETME2021[[#All],[ACO/AE or Insurer Overall Organization ID]],B124),2), "TRUE", ROUND(D124-SUMIFS(ACOAETME2021[[#All],[Total Claims Excluded because of Truncation]], ACOAETME2021[[#All],[Insurance Category Code]],4, ACOAETME2021[[#All],[ACO/AE or Insurer Overall Organization ID]],B124),2))</f>
        <v>TRUE</v>
      </c>
      <c r="J124" s="6" t="str">
        <f>IF(E124=ROUND(SUMIFS(ACOAETME2021[[#All],[Count of Members with Claims Truncated]], ACOAETME2021[[#All],[Insurance Category Code]],4,ACOAETME2021[[#All],[ACO/AE or Insurer Overall Organization ID]],B124),2), "TRUE", ROUND(E124-SUMIFS(ACOAETME2021[[#All],[Count of Members with Claims Truncated]], ACOAETME2021[[#All],[Insurance Category Code]],4, ACOAETME2021[[#All],[ACO/AE or Insurer Overall Organization ID]],B124),2))</f>
        <v>TRUE</v>
      </c>
      <c r="K124" s="6" t="str">
        <f>IF(F124=ROUND(SUMIFS(ACOAETME2021[[#All],[TOTAL Non-Truncated Unadjusted Claims Expenses]], ACOAETME2021[[#All],[Insurance Category Code]],4, ACOAETME2021[[#All],[ACO/AE or Insurer Overall Organization ID]],B124),2), "TRUE", ROUND(F124-SUMIFS(ACOAETME2021[[#All],[TOTAL Non-Truncated Unadjusted Claims Expenses]], ACOAETME2021[[#All],[Insurance Category Code]],4, ACOAETME2021[[#All],[ACO/AE or Insurer Overall Organization ID]],B124),2))</f>
        <v>TRUE</v>
      </c>
      <c r="L124" s="6" t="str">
        <f>IF(G124=ROUND(SUMIFS(ACOAETME2021[[#All],[TOTAL Truncated Unadjusted Claims Expenses (A19 - A17)]], ACOAETME2021[[#All],[Insurance Category Code]],4, ACOAETME2021[[#All],[ACO/AE or Insurer Overall Organization ID]],B124),2), "TRUE", ROUND(G124-SUMIFS(ACOAETME2021[[#All],[TOTAL Truncated Unadjusted Claims Expenses (A19 - A17)]], ACOAETME2021[[#All],[Insurance Category Code]],4, ACOAETME2021[[#All],[ACO/AE or Insurer Overall Organization ID]],B124),2))</f>
        <v>TRUE</v>
      </c>
      <c r="M124" s="6" t="str">
        <f t="shared" si="27"/>
        <v>TRUE</v>
      </c>
      <c r="N124" s="6" t="b">
        <f>ROUND(SUMIFS(ACOAETME2021[[#All],[TOTAL Non-Truncated Unadjusted Claims Expenses]], ACOAETME2021[[#All],[Insurance Category Code]],4, ACOAETME2021[[#All],[ACO/AE or Insurer Overall Organization ID]],B124), 2)&gt;=ROUND(SUMIFS(ACOAETME2021[[#All],[TOTAL Truncated Unadjusted Claims Expenses (A19 - A17)]], ACOAETME2021[[#All],[Insurance Category Code]],4, ACOAETME2021[[#All],[ACO/AE or Insurer Overall Organization ID]],B124),2)</f>
        <v>1</v>
      </c>
      <c r="O124" s="6" t="b">
        <f>ROUND(SUMIFS(ACOAETME2021[[#All],[TOTAL Truncated Unadjusted Claims Expenses (A19 - A17)]], ACOAETME2021[[#All],[Insurance Category Code]],4, ACOAETME2021[[#All],[ACO/AE or Insurer Overall Organization ID]],B124)+SUMIFS(ACOAETME2021[[#All],[Total Claims Excluded because of Truncation]], ACOAETME2021[[#All],[Insurance Category Code]],4, ACOAETME2021[[#All],[ACO/AE or Insurer Overall Organization ID]],B124),2)=ROUND(SUMIFS(ACOAETME2021[[#All],[TOTAL Non-Truncated Unadjusted Claims Expenses]], ACOAETME2021[[#All],[Insurance Category Code]],4, ACOAETME2021[[#All],[ACO/AE or Insurer Overall Organization ID]],B124), 2)</f>
        <v>1</v>
      </c>
      <c r="Q124" s="115">
        <v>102</v>
      </c>
      <c r="R124" s="192">
        <f>ROUND(SUMIFS(AgeSex22[[#All],[Total Member Months by Age/Sex Band]], AgeSex22[[#All],[ACO/AE ID or Insurer Overall]], $B124, AgeSex22[[#All], [Insurance Category Code]],4), 2)</f>
        <v>0</v>
      </c>
      <c r="S124" s="452">
        <f>ROUND(SUMIFS(AgeSex22[[#All],[Total Dollars Excluded from Spending After Applying Truncation at the Member Level]], AgeSex22[[#All],[ACO/AE ID or Insurer Overall]], $B124, AgeSex22[[#All], [Insurance Category Code]],4), 2)</f>
        <v>0</v>
      </c>
      <c r="T124" s="6">
        <f>ROUND(SUMIFS(AgeSex22[[#All],[Count of Members Whose Spending was Truncated]], AgeSex22[[#All],[ACO/AE ID or Insurer Overall]], $B124, AgeSex22[[#All], [Insurance Category Code]],4), 2)</f>
        <v>0</v>
      </c>
      <c r="U124" s="452">
        <f>ROUND(SUMIFS(AgeSex22[[#All],[Total Spending before Truncation is Applied]], AgeSex22[[#All],[ACO/AE ID or Insurer Overall]], $B124, AgeSex22[[#All], [Insurance Category Code]],4), 2)</f>
        <v>0</v>
      </c>
      <c r="V124" s="452">
        <f>ROUND(SUMIFS(AgeSex22[[#All],[Total Spending After Applying Truncation at the Member Level]], AgeSex22[[#All],[ACO/AE ID or Insurer Overall]], $B124, AgeSex22[[#All], [Insurance Category Code]],4), 2)</f>
        <v>0</v>
      </c>
      <c r="W124" s="457" t="str">
        <f>IF(R124=ROUND(SUMIFS(ACOAETME2022[[#All],[Member Months]], ACOAETME2022[[#All],[Insurance Category Code]],4, ACOAETME2022[[#All],[ACO/AE or Insurer Overall Organization ID]],Q124),2), "TRUE", ROUND(R124-SUMIFS(ACOAETME2022[[#All],[Member Months]], ACOAETME2022[[#All],[Insurance Category Code]],4, ACOAETME2022[[#All],[ACO/AE or Insurer Overall Organization ID]],Q124),2))</f>
        <v>TRUE</v>
      </c>
      <c r="X124" s="6" t="str">
        <f>IF(S124=ROUND(SUMIFS(ACOAETME2022[[#All],[Total Claims Excluded because of Truncation]], ACOAETME2022[[#All],[Insurance Category Code]],4, ACOAETME2022[[#All],[ACO/AE or Insurer Overall Organization ID]],Q124),2), "TRUE", ROUND(S124-SUMIFS(ACOAETME2022[[#All],[Total Claims Excluded because of Truncation]], ACOAETME2022[[#All],[Insurance Category Code]],4, ACOAETME2022[[#All],[ACO/AE or Insurer Overall Organization ID]],Q124),2))</f>
        <v>TRUE</v>
      </c>
      <c r="Y124" s="6" t="str">
        <f>IF(T124=ROUND(SUMIFS(ACOAETME2022[[#All],[Count of Members with Claims Truncated]], ACOAETME2022[[#All],[Insurance Category Code]],4,ACOAETME2022[[#All],[ACO/AE or Insurer Overall Organization ID]],Q124),2), "TRUE", ROUND(T124-SUMIFS(ACOAETME2022[[#All],[Count of Members with Claims Truncated]], ACOAETME2022[[#All],[Insurance Category Code]],4, ACOAETME2022[[#All],[ACO/AE or Insurer Overall Organization ID]],Q124),2))</f>
        <v>TRUE</v>
      </c>
      <c r="Z124" s="6" t="str">
        <f>IF(U124=ROUND(SUMIFS(ACOAETME2022[[#All],[TOTAL Non-Truncated Unadjusted Claims Expenses]], ACOAETME2022[[#All],[Insurance Category Code]],4, ACOAETME2022[[#All],[ACO/AE or Insurer Overall Organization ID]],Q124),2), "TRUE", ROUND(U124-SUMIFS(ACOAETME2022[[#All],[TOTAL Non-Truncated Unadjusted Claims Expenses]], ACOAETME2022[[#All],[Insurance Category Code]],4, ACOAETME2022[[#All],[ACO/AE or Insurer Overall Organization ID]],Q124),2))</f>
        <v>TRUE</v>
      </c>
      <c r="AA124" s="6" t="str">
        <f>IF(V124=ROUND(SUMIFS(ACOAETME2022[[#All],[TOTAL Truncated Unadjusted Claims Expenses (A19 - A17)]], ACOAETME2022[[#All],[Insurance Category Code]],4, ACOAETME2022[[#All],[ACO/AE or Insurer Overall Organization ID]],Q124),2), "TRUE", ROUND(V124-SUMIFS(ACOAETME2022[[#All],[TOTAL Truncated Unadjusted Claims Expenses (A19 - A17)]], ACOAETME2022[[#All],[Insurance Category Code]],4, ACOAETME2022[[#All],[ACO/AE or Insurer Overall Organization ID]],Q124),2))</f>
        <v>TRUE</v>
      </c>
      <c r="AB124" s="6" t="str">
        <f t="shared" si="25"/>
        <v>TRUE</v>
      </c>
      <c r="AC124" s="6" t="b">
        <f>ROUND(SUMIFS(ACOAETME2022[[#All],[TOTAL Non-Truncated Unadjusted Claims Expenses]], ACOAETME2022[[#All],[Insurance Category Code]],4, ACOAETME2022[[#All],[ACO/AE or Insurer Overall Organization ID]],Q124), 2)&gt;=ROUND(SUMIFS(ACOAETME2022[[#All],[TOTAL Truncated Unadjusted Claims Expenses (A19 - A17)]], ACOAETME2022[[#All],[Insurance Category Code]],4, ACOAETME2022[[#All],[ACO/AE or Insurer Overall Organization ID]],Q124),2)</f>
        <v>1</v>
      </c>
      <c r="AD124" s="6" t="b">
        <f>ROUND(SUMIFS(ACOAETME2022[[#All],[TOTAL Truncated Unadjusted Claims Expenses (A19 - A17)]], ACOAETME2022[[#All],[Insurance Category Code]],4, ACOAETME2022[[#All],[ACO/AE or Insurer Overall Organization ID]],Q124)+SUMIFS(ACOAETME2022[[#All],[Total Claims Excluded because of Truncation]], ACOAETME2022[[#All],[Insurance Category Code]],4, ACOAETME2022[[#All],[ACO/AE or Insurer Overall Organization ID]],Q124),2)=ROUND(SUMIFS(ACOAETME2022[[#All],[TOTAL Non-Truncated Unadjusted Claims Expenses]], ACOAETME2022[[#All],[Insurance Category Code]],4, ACOAETME2022[[#All],[ACO/AE or Insurer Overall Organization ID]],Q124), 2)</f>
        <v>1</v>
      </c>
      <c r="AG124" s="454" t="str">
        <f t="shared" si="26"/>
        <v>NA</v>
      </c>
    </row>
    <row r="125" spans="2:33" x14ac:dyDescent="0.35">
      <c r="B125" s="115">
        <v>103</v>
      </c>
      <c r="C125" s="192">
        <f>ROUND(SUMIFS(AgeSex21[[#All],[Total Member Months by Age/Sex Band]], AgeSex21[[#All],[ACO/AE ID or Insurer Overall]], $B125, AgeSex21[[#All], [Insurance Category Code]],4), 2)</f>
        <v>0</v>
      </c>
      <c r="D125" s="452">
        <f>ROUND(SUMIFS(AgeSex21[[#All],[Total Dollars Excluded from Spending After Applying Truncation at the Member Level]], AgeSex21[[#All],[ACO/AE ID or Insurer Overall]], $B125, AgeSex21[[#All], [Insurance Category Code]],4), 2)</f>
        <v>0</v>
      </c>
      <c r="E125" s="6">
        <f>ROUND(SUMIFS(AgeSex21[[#All],[Count of Members Whose Spending was Truncated]], AgeSex21[[#All],[ACO/AE ID or Insurer Overall]], $B125, AgeSex21[[#All], [Insurance Category Code]],4), 2)</f>
        <v>0</v>
      </c>
      <c r="F125" s="452">
        <f>ROUND(SUMIFS(AgeSex21[[#All],[Total Spending before Truncation is Applied]], AgeSex21[[#All],[ACO/AE ID or Insurer Overall]], $B125, AgeSex21[[#All], [Insurance Category Code]],4), 2)</f>
        <v>0</v>
      </c>
      <c r="G125" s="452">
        <f>ROUND(SUMIFS(AgeSex21[[#All],[Total Spending After Applying Truncation at the Member Level]], AgeSex21[[#All],[ACO/AE ID or Insurer Overall]], $B125, AgeSex21[[#All], [Insurance Category Code]],4), 2)</f>
        <v>0</v>
      </c>
      <c r="H125" s="6" t="str">
        <f>IF(C125=ROUND(SUMIFS(ACOAETME2021[[#All],[Member Months]], ACOAETME2021[[#All],[Insurance Category Code]],4, ACOAETME2021[[#All],[ACO/AE or Insurer Overall Organization ID]],B125),2), "TRUE", ROUND(C125-SUMIFS(ACOAETME2021[[#All],[Member Months]], ACOAETME2021[[#All],[Insurance Category Code]],4, ACOAETME2021[[#All],[ACO/AE or Insurer Overall Organization ID]],B125),2))</f>
        <v>TRUE</v>
      </c>
      <c r="I125" s="6" t="str">
        <f>IF(D125=ROUND(SUMIFS(ACOAETME2021[[#All],[Total Claims Excluded because of Truncation]], ACOAETME2021[[#All],[Insurance Category Code]],4, ACOAETME2021[[#All],[ACO/AE or Insurer Overall Organization ID]],B125),2), "TRUE", ROUND(D125-SUMIFS(ACOAETME2021[[#All],[Total Claims Excluded because of Truncation]], ACOAETME2021[[#All],[Insurance Category Code]],4, ACOAETME2021[[#All],[ACO/AE or Insurer Overall Organization ID]],B125),2))</f>
        <v>TRUE</v>
      </c>
      <c r="J125" s="6" t="str">
        <f>IF(E125=ROUND(SUMIFS(ACOAETME2021[[#All],[Count of Members with Claims Truncated]], ACOAETME2021[[#All],[Insurance Category Code]],4,ACOAETME2021[[#All],[ACO/AE or Insurer Overall Organization ID]],B125),2), "TRUE", ROUND(E125-SUMIFS(ACOAETME2021[[#All],[Count of Members with Claims Truncated]], ACOAETME2021[[#All],[Insurance Category Code]],4, ACOAETME2021[[#All],[ACO/AE or Insurer Overall Organization ID]],B125),2))</f>
        <v>TRUE</v>
      </c>
      <c r="K125" s="6" t="str">
        <f>IF(F125=ROUND(SUMIFS(ACOAETME2021[[#All],[TOTAL Non-Truncated Unadjusted Claims Expenses]], ACOAETME2021[[#All],[Insurance Category Code]],4, ACOAETME2021[[#All],[ACO/AE or Insurer Overall Organization ID]],B125),2), "TRUE", ROUND(F125-SUMIFS(ACOAETME2021[[#All],[TOTAL Non-Truncated Unadjusted Claims Expenses]], ACOAETME2021[[#All],[Insurance Category Code]],4, ACOAETME2021[[#All],[ACO/AE or Insurer Overall Organization ID]],B125),2))</f>
        <v>TRUE</v>
      </c>
      <c r="L125" s="6" t="str">
        <f>IF(G125=ROUND(SUMIFS(ACOAETME2021[[#All],[TOTAL Truncated Unadjusted Claims Expenses (A19 - A17)]], ACOAETME2021[[#All],[Insurance Category Code]],4, ACOAETME2021[[#All],[ACO/AE or Insurer Overall Organization ID]],B125),2), "TRUE", ROUND(G125-SUMIFS(ACOAETME2021[[#All],[TOTAL Truncated Unadjusted Claims Expenses (A19 - A17)]], ACOAETME2021[[#All],[Insurance Category Code]],4, ACOAETME2021[[#All],[ACO/AE or Insurer Overall Organization ID]],B125),2))</f>
        <v>TRUE</v>
      </c>
      <c r="M125" s="6" t="str">
        <f t="shared" si="27"/>
        <v>TRUE</v>
      </c>
      <c r="N125" s="6" t="b">
        <f>ROUND(SUMIFS(ACOAETME2021[[#All],[TOTAL Non-Truncated Unadjusted Claims Expenses]], ACOAETME2021[[#All],[Insurance Category Code]],4, ACOAETME2021[[#All],[ACO/AE or Insurer Overall Organization ID]],B125), 2)&gt;=ROUND(SUMIFS(ACOAETME2021[[#All],[TOTAL Truncated Unadjusted Claims Expenses (A19 - A17)]], ACOAETME2021[[#All],[Insurance Category Code]],4, ACOAETME2021[[#All],[ACO/AE or Insurer Overall Organization ID]],B125),2)</f>
        <v>1</v>
      </c>
      <c r="O125" s="6" t="b">
        <f>ROUND(SUMIFS(ACOAETME2021[[#All],[TOTAL Truncated Unadjusted Claims Expenses (A19 - A17)]], ACOAETME2021[[#All],[Insurance Category Code]],4, ACOAETME2021[[#All],[ACO/AE or Insurer Overall Organization ID]],B125)+SUMIFS(ACOAETME2021[[#All],[Total Claims Excluded because of Truncation]], ACOAETME2021[[#All],[Insurance Category Code]],4, ACOAETME2021[[#All],[ACO/AE or Insurer Overall Organization ID]],B125),2)=ROUND(SUMIFS(ACOAETME2021[[#All],[TOTAL Non-Truncated Unadjusted Claims Expenses]], ACOAETME2021[[#All],[Insurance Category Code]],4, ACOAETME2021[[#All],[ACO/AE or Insurer Overall Organization ID]],B125), 2)</f>
        <v>1</v>
      </c>
      <c r="Q125" s="115">
        <v>103</v>
      </c>
      <c r="R125" s="192">
        <f>ROUND(SUMIFS(AgeSex22[[#All],[Total Member Months by Age/Sex Band]], AgeSex22[[#All],[ACO/AE ID or Insurer Overall]], $B125, AgeSex22[[#All], [Insurance Category Code]],4), 2)</f>
        <v>0</v>
      </c>
      <c r="S125" s="452">
        <f>ROUND(SUMIFS(AgeSex22[[#All],[Total Dollars Excluded from Spending After Applying Truncation at the Member Level]], AgeSex22[[#All],[ACO/AE ID or Insurer Overall]], $B125, AgeSex22[[#All], [Insurance Category Code]],4), 2)</f>
        <v>0</v>
      </c>
      <c r="T125" s="6">
        <f>ROUND(SUMIFS(AgeSex22[[#All],[Count of Members Whose Spending was Truncated]], AgeSex22[[#All],[ACO/AE ID or Insurer Overall]], $B125, AgeSex22[[#All], [Insurance Category Code]],4), 2)</f>
        <v>0</v>
      </c>
      <c r="U125" s="452">
        <f>ROUND(SUMIFS(AgeSex22[[#All],[Total Spending before Truncation is Applied]], AgeSex22[[#All],[ACO/AE ID or Insurer Overall]], $B125, AgeSex22[[#All], [Insurance Category Code]],4), 2)</f>
        <v>0</v>
      </c>
      <c r="V125" s="452">
        <f>ROUND(SUMIFS(AgeSex22[[#All],[Total Spending After Applying Truncation at the Member Level]], AgeSex22[[#All],[ACO/AE ID or Insurer Overall]], $B125, AgeSex22[[#All], [Insurance Category Code]],4), 2)</f>
        <v>0</v>
      </c>
      <c r="W125" s="457" t="str">
        <f>IF(R125=ROUND(SUMIFS(ACOAETME2022[[#All],[Member Months]], ACOAETME2022[[#All],[Insurance Category Code]],4, ACOAETME2022[[#All],[ACO/AE or Insurer Overall Organization ID]],Q125),2), "TRUE", ROUND(R125-SUMIFS(ACOAETME2022[[#All],[Member Months]], ACOAETME2022[[#All],[Insurance Category Code]],4, ACOAETME2022[[#All],[ACO/AE or Insurer Overall Organization ID]],Q125),2))</f>
        <v>TRUE</v>
      </c>
      <c r="X125" s="6" t="str">
        <f>IF(S125=ROUND(SUMIFS(ACOAETME2022[[#All],[Total Claims Excluded because of Truncation]], ACOAETME2022[[#All],[Insurance Category Code]],4, ACOAETME2022[[#All],[ACO/AE or Insurer Overall Organization ID]],Q125),2), "TRUE", ROUND(S125-SUMIFS(ACOAETME2022[[#All],[Total Claims Excluded because of Truncation]], ACOAETME2022[[#All],[Insurance Category Code]],4, ACOAETME2022[[#All],[ACO/AE or Insurer Overall Organization ID]],Q125),2))</f>
        <v>TRUE</v>
      </c>
      <c r="Y125" s="6" t="str">
        <f>IF(T125=ROUND(SUMIFS(ACOAETME2022[[#All],[Count of Members with Claims Truncated]], ACOAETME2022[[#All],[Insurance Category Code]],4,ACOAETME2022[[#All],[ACO/AE or Insurer Overall Organization ID]],Q125),2), "TRUE", ROUND(T125-SUMIFS(ACOAETME2022[[#All],[Count of Members with Claims Truncated]], ACOAETME2022[[#All],[Insurance Category Code]],4, ACOAETME2022[[#All],[ACO/AE or Insurer Overall Organization ID]],Q125),2))</f>
        <v>TRUE</v>
      </c>
      <c r="Z125" s="6" t="str">
        <f>IF(U125=ROUND(SUMIFS(ACOAETME2022[[#All],[TOTAL Non-Truncated Unadjusted Claims Expenses]], ACOAETME2022[[#All],[Insurance Category Code]],4, ACOAETME2022[[#All],[ACO/AE or Insurer Overall Organization ID]],Q125),2), "TRUE", ROUND(U125-SUMIFS(ACOAETME2022[[#All],[TOTAL Non-Truncated Unadjusted Claims Expenses]], ACOAETME2022[[#All],[Insurance Category Code]],4, ACOAETME2022[[#All],[ACO/AE or Insurer Overall Organization ID]],Q125),2))</f>
        <v>TRUE</v>
      </c>
      <c r="AA125" s="6" t="str">
        <f>IF(V125=ROUND(SUMIFS(ACOAETME2022[[#All],[TOTAL Truncated Unadjusted Claims Expenses (A19 - A17)]], ACOAETME2022[[#All],[Insurance Category Code]],4, ACOAETME2022[[#All],[ACO/AE or Insurer Overall Organization ID]],Q125),2), "TRUE", ROUND(V125-SUMIFS(ACOAETME2022[[#All],[TOTAL Truncated Unadjusted Claims Expenses (A19 - A17)]], ACOAETME2022[[#All],[Insurance Category Code]],4, ACOAETME2022[[#All],[ACO/AE or Insurer Overall Organization ID]],Q125),2))</f>
        <v>TRUE</v>
      </c>
      <c r="AB125" s="6" t="str">
        <f t="shared" si="25"/>
        <v>TRUE</v>
      </c>
      <c r="AC125" s="6" t="b">
        <f>ROUND(SUMIFS(ACOAETME2022[[#All],[TOTAL Non-Truncated Unadjusted Claims Expenses]], ACOAETME2022[[#All],[Insurance Category Code]],4, ACOAETME2022[[#All],[ACO/AE or Insurer Overall Organization ID]],Q125), 2)&gt;=ROUND(SUMIFS(ACOAETME2022[[#All],[TOTAL Truncated Unadjusted Claims Expenses (A19 - A17)]], ACOAETME2022[[#All],[Insurance Category Code]],4, ACOAETME2022[[#All],[ACO/AE or Insurer Overall Organization ID]],Q125),2)</f>
        <v>1</v>
      </c>
      <c r="AD125" s="6" t="b">
        <f>ROUND(SUMIFS(ACOAETME2022[[#All],[TOTAL Truncated Unadjusted Claims Expenses (A19 - A17)]], ACOAETME2022[[#All],[Insurance Category Code]],4, ACOAETME2022[[#All],[ACO/AE or Insurer Overall Organization ID]],Q125)+SUMIFS(ACOAETME2022[[#All],[Total Claims Excluded because of Truncation]], ACOAETME2022[[#All],[Insurance Category Code]],4, ACOAETME2022[[#All],[ACO/AE or Insurer Overall Organization ID]],Q125),2)=ROUND(SUMIFS(ACOAETME2022[[#All],[TOTAL Non-Truncated Unadjusted Claims Expenses]], ACOAETME2022[[#All],[Insurance Category Code]],4, ACOAETME2022[[#All],[ACO/AE or Insurer Overall Organization ID]],Q125), 2)</f>
        <v>1</v>
      </c>
      <c r="AG125" s="454" t="str">
        <f t="shared" si="26"/>
        <v>NA</v>
      </c>
    </row>
    <row r="126" spans="2:33" x14ac:dyDescent="0.35">
      <c r="B126" s="115">
        <v>104</v>
      </c>
      <c r="C126" s="192">
        <f>ROUND(SUMIFS(AgeSex21[[#All],[Total Member Months by Age/Sex Band]], AgeSex21[[#All],[ACO/AE ID or Insurer Overall]], $B126, AgeSex21[[#All], [Insurance Category Code]],4), 2)</f>
        <v>0</v>
      </c>
      <c r="D126" s="452">
        <f>ROUND(SUMIFS(AgeSex21[[#All],[Total Dollars Excluded from Spending After Applying Truncation at the Member Level]], AgeSex21[[#All],[ACO/AE ID or Insurer Overall]], $B126, AgeSex21[[#All], [Insurance Category Code]],4), 2)</f>
        <v>0</v>
      </c>
      <c r="E126" s="6">
        <f>ROUND(SUMIFS(AgeSex21[[#All],[Count of Members Whose Spending was Truncated]], AgeSex21[[#All],[ACO/AE ID or Insurer Overall]], $B126, AgeSex21[[#All], [Insurance Category Code]],4), 2)</f>
        <v>0</v>
      </c>
      <c r="F126" s="452">
        <f>ROUND(SUMIFS(AgeSex21[[#All],[Total Spending before Truncation is Applied]], AgeSex21[[#All],[ACO/AE ID or Insurer Overall]], $B126, AgeSex21[[#All], [Insurance Category Code]],4), 2)</f>
        <v>0</v>
      </c>
      <c r="G126" s="452">
        <f>ROUND(SUMIFS(AgeSex21[[#All],[Total Spending After Applying Truncation at the Member Level]], AgeSex21[[#All],[ACO/AE ID or Insurer Overall]], $B126, AgeSex21[[#All], [Insurance Category Code]],4), 2)</f>
        <v>0</v>
      </c>
      <c r="H126" s="6" t="str">
        <f>IF(C126=ROUND(SUMIFS(ACOAETME2021[[#All],[Member Months]], ACOAETME2021[[#All],[Insurance Category Code]],4, ACOAETME2021[[#All],[ACO/AE or Insurer Overall Organization ID]],B126),2), "TRUE", ROUND(C126-SUMIFS(ACOAETME2021[[#All],[Member Months]], ACOAETME2021[[#All],[Insurance Category Code]],4, ACOAETME2021[[#All],[ACO/AE or Insurer Overall Organization ID]],B126),2))</f>
        <v>TRUE</v>
      </c>
      <c r="I126" s="6" t="str">
        <f>IF(D126=ROUND(SUMIFS(ACOAETME2021[[#All],[Total Claims Excluded because of Truncation]], ACOAETME2021[[#All],[Insurance Category Code]],4, ACOAETME2021[[#All],[ACO/AE or Insurer Overall Organization ID]],B126),2), "TRUE", ROUND(D126-SUMIFS(ACOAETME2021[[#All],[Total Claims Excluded because of Truncation]], ACOAETME2021[[#All],[Insurance Category Code]],4, ACOAETME2021[[#All],[ACO/AE or Insurer Overall Organization ID]],B126),2))</f>
        <v>TRUE</v>
      </c>
      <c r="J126" s="6" t="str">
        <f>IF(E126=ROUND(SUMIFS(ACOAETME2021[[#All],[Count of Members with Claims Truncated]], ACOAETME2021[[#All],[Insurance Category Code]],4,ACOAETME2021[[#All],[ACO/AE or Insurer Overall Organization ID]],B126),2), "TRUE", ROUND(E126-SUMIFS(ACOAETME2021[[#All],[Count of Members with Claims Truncated]], ACOAETME2021[[#All],[Insurance Category Code]],4, ACOAETME2021[[#All],[ACO/AE or Insurer Overall Organization ID]],B126),2))</f>
        <v>TRUE</v>
      </c>
      <c r="K126" s="6" t="str">
        <f>IF(F126=ROUND(SUMIFS(ACOAETME2021[[#All],[TOTAL Non-Truncated Unadjusted Claims Expenses]], ACOAETME2021[[#All],[Insurance Category Code]],4, ACOAETME2021[[#All],[ACO/AE or Insurer Overall Organization ID]],B126),2), "TRUE", ROUND(F126-SUMIFS(ACOAETME2021[[#All],[TOTAL Non-Truncated Unadjusted Claims Expenses]], ACOAETME2021[[#All],[Insurance Category Code]],4, ACOAETME2021[[#All],[ACO/AE or Insurer Overall Organization ID]],B126),2))</f>
        <v>TRUE</v>
      </c>
      <c r="L126" s="6" t="str">
        <f>IF(G126=ROUND(SUMIFS(ACOAETME2021[[#All],[TOTAL Truncated Unadjusted Claims Expenses (A19 - A17)]], ACOAETME2021[[#All],[Insurance Category Code]],4, ACOAETME2021[[#All],[ACO/AE or Insurer Overall Organization ID]],B126),2), "TRUE", ROUND(G126-SUMIFS(ACOAETME2021[[#All],[TOTAL Truncated Unadjusted Claims Expenses (A19 - A17)]], ACOAETME2021[[#All],[Insurance Category Code]],4, ACOAETME2021[[#All],[ACO/AE or Insurer Overall Organization ID]],B126),2))</f>
        <v>TRUE</v>
      </c>
      <c r="M126" s="6" t="str">
        <f t="shared" si="27"/>
        <v>TRUE</v>
      </c>
      <c r="N126" s="6" t="b">
        <f>ROUND(SUMIFS(ACOAETME2021[[#All],[TOTAL Non-Truncated Unadjusted Claims Expenses]], ACOAETME2021[[#All],[Insurance Category Code]],4, ACOAETME2021[[#All],[ACO/AE or Insurer Overall Organization ID]],B126), 2)&gt;=ROUND(SUMIFS(ACOAETME2021[[#All],[TOTAL Truncated Unadjusted Claims Expenses (A19 - A17)]], ACOAETME2021[[#All],[Insurance Category Code]],4, ACOAETME2021[[#All],[ACO/AE or Insurer Overall Organization ID]],B126),2)</f>
        <v>1</v>
      </c>
      <c r="O126" s="6" t="b">
        <f>ROUND(SUMIFS(ACOAETME2021[[#All],[TOTAL Truncated Unadjusted Claims Expenses (A19 - A17)]], ACOAETME2021[[#All],[Insurance Category Code]],4, ACOAETME2021[[#All],[ACO/AE or Insurer Overall Organization ID]],B126)+SUMIFS(ACOAETME2021[[#All],[Total Claims Excluded because of Truncation]], ACOAETME2021[[#All],[Insurance Category Code]],4, ACOAETME2021[[#All],[ACO/AE or Insurer Overall Organization ID]],B126),2)=ROUND(SUMIFS(ACOAETME2021[[#All],[TOTAL Non-Truncated Unadjusted Claims Expenses]], ACOAETME2021[[#All],[Insurance Category Code]],4, ACOAETME2021[[#All],[ACO/AE or Insurer Overall Organization ID]],B126), 2)</f>
        <v>1</v>
      </c>
      <c r="Q126" s="115">
        <v>104</v>
      </c>
      <c r="R126" s="192">
        <f>ROUND(SUMIFS(AgeSex22[[#All],[Total Member Months by Age/Sex Band]], AgeSex22[[#All],[ACO/AE ID or Insurer Overall]], $B126, AgeSex22[[#All], [Insurance Category Code]],4), 2)</f>
        <v>0</v>
      </c>
      <c r="S126" s="452">
        <f>ROUND(SUMIFS(AgeSex22[[#All],[Total Dollars Excluded from Spending After Applying Truncation at the Member Level]], AgeSex22[[#All],[ACO/AE ID or Insurer Overall]], $B126, AgeSex22[[#All], [Insurance Category Code]],4), 2)</f>
        <v>0</v>
      </c>
      <c r="T126" s="6">
        <f>ROUND(SUMIFS(AgeSex22[[#All],[Count of Members Whose Spending was Truncated]], AgeSex22[[#All],[ACO/AE ID or Insurer Overall]], $B126, AgeSex22[[#All], [Insurance Category Code]],4), 2)</f>
        <v>0</v>
      </c>
      <c r="U126" s="452">
        <f>ROUND(SUMIFS(AgeSex22[[#All],[Total Spending before Truncation is Applied]], AgeSex22[[#All],[ACO/AE ID or Insurer Overall]], $B126, AgeSex22[[#All], [Insurance Category Code]],4), 2)</f>
        <v>0</v>
      </c>
      <c r="V126" s="452">
        <f>ROUND(SUMIFS(AgeSex22[[#All],[Total Spending After Applying Truncation at the Member Level]], AgeSex22[[#All],[ACO/AE ID or Insurer Overall]], $B126, AgeSex22[[#All], [Insurance Category Code]],4), 2)</f>
        <v>0</v>
      </c>
      <c r="W126" s="457" t="str">
        <f>IF(R126=ROUND(SUMIFS(ACOAETME2022[[#All],[Member Months]], ACOAETME2022[[#All],[Insurance Category Code]],4, ACOAETME2022[[#All],[ACO/AE or Insurer Overall Organization ID]],Q126),2), "TRUE", ROUND(R126-SUMIFS(ACOAETME2022[[#All],[Member Months]], ACOAETME2022[[#All],[Insurance Category Code]],4, ACOAETME2022[[#All],[ACO/AE or Insurer Overall Organization ID]],Q126),2))</f>
        <v>TRUE</v>
      </c>
      <c r="X126" s="6" t="str">
        <f>IF(S126=ROUND(SUMIFS(ACOAETME2022[[#All],[Total Claims Excluded because of Truncation]], ACOAETME2022[[#All],[Insurance Category Code]],4, ACOAETME2022[[#All],[ACO/AE or Insurer Overall Organization ID]],Q126),2), "TRUE", ROUND(S126-SUMIFS(ACOAETME2022[[#All],[Total Claims Excluded because of Truncation]], ACOAETME2022[[#All],[Insurance Category Code]],4, ACOAETME2022[[#All],[ACO/AE or Insurer Overall Organization ID]],Q126),2))</f>
        <v>TRUE</v>
      </c>
      <c r="Y126" s="6" t="str">
        <f>IF(T126=ROUND(SUMIFS(ACOAETME2022[[#All],[Count of Members with Claims Truncated]], ACOAETME2022[[#All],[Insurance Category Code]],4,ACOAETME2022[[#All],[ACO/AE or Insurer Overall Organization ID]],Q126),2), "TRUE", ROUND(T126-SUMIFS(ACOAETME2022[[#All],[Count of Members with Claims Truncated]], ACOAETME2022[[#All],[Insurance Category Code]],4, ACOAETME2022[[#All],[ACO/AE or Insurer Overall Organization ID]],Q126),2))</f>
        <v>TRUE</v>
      </c>
      <c r="Z126" s="6" t="str">
        <f>IF(U126=ROUND(SUMIFS(ACOAETME2022[[#All],[TOTAL Non-Truncated Unadjusted Claims Expenses]], ACOAETME2022[[#All],[Insurance Category Code]],4, ACOAETME2022[[#All],[ACO/AE or Insurer Overall Organization ID]],Q126),2), "TRUE", ROUND(U126-SUMIFS(ACOAETME2022[[#All],[TOTAL Non-Truncated Unadjusted Claims Expenses]], ACOAETME2022[[#All],[Insurance Category Code]],4, ACOAETME2022[[#All],[ACO/AE or Insurer Overall Organization ID]],Q126),2))</f>
        <v>TRUE</v>
      </c>
      <c r="AA126" s="6" t="str">
        <f>IF(V126=ROUND(SUMIFS(ACOAETME2022[[#All],[TOTAL Truncated Unadjusted Claims Expenses (A19 - A17)]], ACOAETME2022[[#All],[Insurance Category Code]],4, ACOAETME2022[[#All],[ACO/AE or Insurer Overall Organization ID]],Q126),2), "TRUE", ROUND(V126-SUMIFS(ACOAETME2022[[#All],[TOTAL Truncated Unadjusted Claims Expenses (A19 - A17)]], ACOAETME2022[[#All],[Insurance Category Code]],4, ACOAETME2022[[#All],[ACO/AE or Insurer Overall Organization ID]],Q126),2))</f>
        <v>TRUE</v>
      </c>
      <c r="AB126" s="6" t="str">
        <f t="shared" si="25"/>
        <v>TRUE</v>
      </c>
      <c r="AC126" s="6" t="b">
        <f>ROUND(SUMIFS(ACOAETME2022[[#All],[TOTAL Non-Truncated Unadjusted Claims Expenses]], ACOAETME2022[[#All],[Insurance Category Code]],4, ACOAETME2022[[#All],[ACO/AE or Insurer Overall Organization ID]],Q126), 2)&gt;=ROUND(SUMIFS(ACOAETME2022[[#All],[TOTAL Truncated Unadjusted Claims Expenses (A19 - A17)]], ACOAETME2022[[#All],[Insurance Category Code]],4, ACOAETME2022[[#All],[ACO/AE or Insurer Overall Organization ID]],Q126),2)</f>
        <v>1</v>
      </c>
      <c r="AD126" s="6" t="b">
        <f>ROUND(SUMIFS(ACOAETME2022[[#All],[TOTAL Truncated Unadjusted Claims Expenses (A19 - A17)]], ACOAETME2022[[#All],[Insurance Category Code]],4, ACOAETME2022[[#All],[ACO/AE or Insurer Overall Organization ID]],Q126)+SUMIFS(ACOAETME2022[[#All],[Total Claims Excluded because of Truncation]], ACOAETME2022[[#All],[Insurance Category Code]],4, ACOAETME2022[[#All],[ACO/AE or Insurer Overall Organization ID]],Q126),2)=ROUND(SUMIFS(ACOAETME2022[[#All],[TOTAL Non-Truncated Unadjusted Claims Expenses]], ACOAETME2022[[#All],[Insurance Category Code]],4, ACOAETME2022[[#All],[ACO/AE or Insurer Overall Organization ID]],Q126), 2)</f>
        <v>1</v>
      </c>
      <c r="AG126" s="454" t="str">
        <f t="shared" si="26"/>
        <v>NA</v>
      </c>
    </row>
    <row r="127" spans="2:33" x14ac:dyDescent="0.35">
      <c r="B127" s="115">
        <v>105</v>
      </c>
      <c r="C127" s="192">
        <f>ROUND(SUMIFS(AgeSex21[[#All],[Total Member Months by Age/Sex Band]], AgeSex21[[#All],[ACO/AE ID or Insurer Overall]], $B127, AgeSex21[[#All], [Insurance Category Code]],4), 2)</f>
        <v>0</v>
      </c>
      <c r="D127" s="452">
        <f>ROUND(SUMIFS(AgeSex21[[#All],[Total Dollars Excluded from Spending After Applying Truncation at the Member Level]], AgeSex21[[#All],[ACO/AE ID or Insurer Overall]], $B127, AgeSex21[[#All], [Insurance Category Code]],4), 2)</f>
        <v>0</v>
      </c>
      <c r="E127" s="6">
        <f>ROUND(SUMIFS(AgeSex21[[#All],[Count of Members Whose Spending was Truncated]], AgeSex21[[#All],[ACO/AE ID or Insurer Overall]], $B127, AgeSex21[[#All], [Insurance Category Code]],4), 2)</f>
        <v>0</v>
      </c>
      <c r="F127" s="452">
        <f>ROUND(SUMIFS(AgeSex21[[#All],[Total Spending before Truncation is Applied]], AgeSex21[[#All],[ACO/AE ID or Insurer Overall]], $B127, AgeSex21[[#All], [Insurance Category Code]],4), 2)</f>
        <v>0</v>
      </c>
      <c r="G127" s="452">
        <f>ROUND(SUMIFS(AgeSex21[[#All],[Total Spending After Applying Truncation at the Member Level]], AgeSex21[[#All],[ACO/AE ID or Insurer Overall]], $B127, AgeSex21[[#All], [Insurance Category Code]],4), 2)</f>
        <v>0</v>
      </c>
      <c r="H127" s="6" t="str">
        <f>IF(C127=ROUND(SUMIFS(ACOAETME2021[[#All],[Member Months]], ACOAETME2021[[#All],[Insurance Category Code]],4, ACOAETME2021[[#All],[ACO/AE or Insurer Overall Organization ID]],B127),2), "TRUE", ROUND(C127-SUMIFS(ACOAETME2021[[#All],[Member Months]], ACOAETME2021[[#All],[Insurance Category Code]],4, ACOAETME2021[[#All],[ACO/AE or Insurer Overall Organization ID]],B127),2))</f>
        <v>TRUE</v>
      </c>
      <c r="I127" s="6" t="str">
        <f>IF(D127=ROUND(SUMIFS(ACOAETME2021[[#All],[Total Claims Excluded because of Truncation]], ACOAETME2021[[#All],[Insurance Category Code]],4, ACOAETME2021[[#All],[ACO/AE or Insurer Overall Organization ID]],B127),2), "TRUE", ROUND(D127-SUMIFS(ACOAETME2021[[#All],[Total Claims Excluded because of Truncation]], ACOAETME2021[[#All],[Insurance Category Code]],4, ACOAETME2021[[#All],[ACO/AE or Insurer Overall Organization ID]],B127),2))</f>
        <v>TRUE</v>
      </c>
      <c r="J127" s="6" t="str">
        <f>IF(E127=ROUND(SUMIFS(ACOAETME2021[[#All],[Count of Members with Claims Truncated]], ACOAETME2021[[#All],[Insurance Category Code]],4,ACOAETME2021[[#All],[ACO/AE or Insurer Overall Organization ID]],B127),2), "TRUE", ROUND(E127-SUMIFS(ACOAETME2021[[#All],[Count of Members with Claims Truncated]], ACOAETME2021[[#All],[Insurance Category Code]],4, ACOAETME2021[[#All],[ACO/AE or Insurer Overall Organization ID]],B127),2))</f>
        <v>TRUE</v>
      </c>
      <c r="K127" s="6" t="str">
        <f>IF(F127=ROUND(SUMIFS(ACOAETME2021[[#All],[TOTAL Non-Truncated Unadjusted Claims Expenses]], ACOAETME2021[[#All],[Insurance Category Code]],4, ACOAETME2021[[#All],[ACO/AE or Insurer Overall Organization ID]],B127),2), "TRUE", ROUND(F127-SUMIFS(ACOAETME2021[[#All],[TOTAL Non-Truncated Unadjusted Claims Expenses]], ACOAETME2021[[#All],[Insurance Category Code]],4, ACOAETME2021[[#All],[ACO/AE or Insurer Overall Organization ID]],B127),2))</f>
        <v>TRUE</v>
      </c>
      <c r="L127" s="6" t="str">
        <f>IF(G127=ROUND(SUMIFS(ACOAETME2021[[#All],[TOTAL Truncated Unadjusted Claims Expenses (A19 - A17)]], ACOAETME2021[[#All],[Insurance Category Code]],4, ACOAETME2021[[#All],[ACO/AE or Insurer Overall Organization ID]],B127),2), "TRUE", ROUND(G127-SUMIFS(ACOAETME2021[[#All],[TOTAL Truncated Unadjusted Claims Expenses (A19 - A17)]], ACOAETME2021[[#All],[Insurance Category Code]],4, ACOAETME2021[[#All],[ACO/AE or Insurer Overall Organization ID]],B127),2))</f>
        <v>TRUE</v>
      </c>
      <c r="M127" s="6" t="str">
        <f t="shared" si="27"/>
        <v>TRUE</v>
      </c>
      <c r="N127" s="6" t="b">
        <f>ROUND(SUMIFS(ACOAETME2021[[#All],[TOTAL Non-Truncated Unadjusted Claims Expenses]], ACOAETME2021[[#All],[Insurance Category Code]],4, ACOAETME2021[[#All],[ACO/AE or Insurer Overall Organization ID]],B127), 2)&gt;=ROUND(SUMIFS(ACOAETME2021[[#All],[TOTAL Truncated Unadjusted Claims Expenses (A19 - A17)]], ACOAETME2021[[#All],[Insurance Category Code]],4, ACOAETME2021[[#All],[ACO/AE or Insurer Overall Organization ID]],B127),2)</f>
        <v>1</v>
      </c>
      <c r="O127" s="6" t="b">
        <f>ROUND(SUMIFS(ACOAETME2021[[#All],[TOTAL Truncated Unadjusted Claims Expenses (A19 - A17)]], ACOAETME2021[[#All],[Insurance Category Code]],4, ACOAETME2021[[#All],[ACO/AE or Insurer Overall Organization ID]],B127)+SUMIFS(ACOAETME2021[[#All],[Total Claims Excluded because of Truncation]], ACOAETME2021[[#All],[Insurance Category Code]],4, ACOAETME2021[[#All],[ACO/AE or Insurer Overall Organization ID]],B127),2)=ROUND(SUMIFS(ACOAETME2021[[#All],[TOTAL Non-Truncated Unadjusted Claims Expenses]], ACOAETME2021[[#All],[Insurance Category Code]],4, ACOAETME2021[[#All],[ACO/AE or Insurer Overall Organization ID]],B127), 2)</f>
        <v>1</v>
      </c>
      <c r="Q127" s="115">
        <v>105</v>
      </c>
      <c r="R127" s="192">
        <f>ROUND(SUMIFS(AgeSex22[[#All],[Total Member Months by Age/Sex Band]], AgeSex22[[#All],[ACO/AE ID or Insurer Overall]], $B127, AgeSex22[[#All], [Insurance Category Code]],4), 2)</f>
        <v>0</v>
      </c>
      <c r="S127" s="452">
        <f>ROUND(SUMIFS(AgeSex22[[#All],[Total Dollars Excluded from Spending After Applying Truncation at the Member Level]], AgeSex22[[#All],[ACO/AE ID or Insurer Overall]], $B127, AgeSex22[[#All], [Insurance Category Code]],4), 2)</f>
        <v>0</v>
      </c>
      <c r="T127" s="6">
        <f>ROUND(SUMIFS(AgeSex22[[#All],[Count of Members Whose Spending was Truncated]], AgeSex22[[#All],[ACO/AE ID or Insurer Overall]], $B127, AgeSex22[[#All], [Insurance Category Code]],4), 2)</f>
        <v>0</v>
      </c>
      <c r="U127" s="452">
        <f>ROUND(SUMIFS(AgeSex22[[#All],[Total Spending before Truncation is Applied]], AgeSex22[[#All],[ACO/AE ID or Insurer Overall]], $B127, AgeSex22[[#All], [Insurance Category Code]],4), 2)</f>
        <v>0</v>
      </c>
      <c r="V127" s="452">
        <f>ROUND(SUMIFS(AgeSex22[[#All],[Total Spending After Applying Truncation at the Member Level]], AgeSex22[[#All],[ACO/AE ID or Insurer Overall]], $B127, AgeSex22[[#All], [Insurance Category Code]],4), 2)</f>
        <v>0</v>
      </c>
      <c r="W127" s="457" t="str">
        <f>IF(R127=ROUND(SUMIFS(ACOAETME2022[[#All],[Member Months]], ACOAETME2022[[#All],[Insurance Category Code]],4, ACOAETME2022[[#All],[ACO/AE or Insurer Overall Organization ID]],Q127),2), "TRUE", ROUND(R127-SUMIFS(ACOAETME2022[[#All],[Member Months]], ACOAETME2022[[#All],[Insurance Category Code]],4, ACOAETME2022[[#All],[ACO/AE or Insurer Overall Organization ID]],Q127),2))</f>
        <v>TRUE</v>
      </c>
      <c r="X127" s="6" t="str">
        <f>IF(S127=ROUND(SUMIFS(ACOAETME2022[[#All],[Total Claims Excluded because of Truncation]], ACOAETME2022[[#All],[Insurance Category Code]],4, ACOAETME2022[[#All],[ACO/AE or Insurer Overall Organization ID]],Q127),2), "TRUE", ROUND(S127-SUMIFS(ACOAETME2022[[#All],[Total Claims Excluded because of Truncation]], ACOAETME2022[[#All],[Insurance Category Code]],4, ACOAETME2022[[#All],[ACO/AE or Insurer Overall Organization ID]],Q127),2))</f>
        <v>TRUE</v>
      </c>
      <c r="Y127" s="6" t="str">
        <f>IF(T127=ROUND(SUMIFS(ACOAETME2022[[#All],[Count of Members with Claims Truncated]], ACOAETME2022[[#All],[Insurance Category Code]],4,ACOAETME2022[[#All],[ACO/AE or Insurer Overall Organization ID]],Q127),2), "TRUE", ROUND(T127-SUMIFS(ACOAETME2022[[#All],[Count of Members with Claims Truncated]], ACOAETME2022[[#All],[Insurance Category Code]],4, ACOAETME2022[[#All],[ACO/AE or Insurer Overall Organization ID]],Q127),2))</f>
        <v>TRUE</v>
      </c>
      <c r="Z127" s="6" t="str">
        <f>IF(U127=ROUND(SUMIFS(ACOAETME2022[[#All],[TOTAL Non-Truncated Unadjusted Claims Expenses]], ACOAETME2022[[#All],[Insurance Category Code]],4, ACOAETME2022[[#All],[ACO/AE or Insurer Overall Organization ID]],Q127),2), "TRUE", ROUND(U127-SUMIFS(ACOAETME2022[[#All],[TOTAL Non-Truncated Unadjusted Claims Expenses]], ACOAETME2022[[#All],[Insurance Category Code]],4, ACOAETME2022[[#All],[ACO/AE or Insurer Overall Organization ID]],Q127),2))</f>
        <v>TRUE</v>
      </c>
      <c r="AA127" s="6" t="str">
        <f>IF(V127=ROUND(SUMIFS(ACOAETME2022[[#All],[TOTAL Truncated Unadjusted Claims Expenses (A19 - A17)]], ACOAETME2022[[#All],[Insurance Category Code]],4, ACOAETME2022[[#All],[ACO/AE or Insurer Overall Organization ID]],Q127),2), "TRUE", ROUND(V127-SUMIFS(ACOAETME2022[[#All],[TOTAL Truncated Unadjusted Claims Expenses (A19 - A17)]], ACOAETME2022[[#All],[Insurance Category Code]],4, ACOAETME2022[[#All],[ACO/AE or Insurer Overall Organization ID]],Q127),2))</f>
        <v>TRUE</v>
      </c>
      <c r="AB127" s="6" t="str">
        <f t="shared" si="25"/>
        <v>TRUE</v>
      </c>
      <c r="AC127" s="6" t="b">
        <f>ROUND(SUMIFS(ACOAETME2022[[#All],[TOTAL Non-Truncated Unadjusted Claims Expenses]], ACOAETME2022[[#All],[Insurance Category Code]],4, ACOAETME2022[[#All],[ACO/AE or Insurer Overall Organization ID]],Q127), 2)&gt;=ROUND(SUMIFS(ACOAETME2022[[#All],[TOTAL Truncated Unadjusted Claims Expenses (A19 - A17)]], ACOAETME2022[[#All],[Insurance Category Code]],4, ACOAETME2022[[#All],[ACO/AE or Insurer Overall Organization ID]],Q127),2)</f>
        <v>1</v>
      </c>
      <c r="AD127" s="6" t="b">
        <f>ROUND(SUMIFS(ACOAETME2022[[#All],[TOTAL Truncated Unadjusted Claims Expenses (A19 - A17)]], ACOAETME2022[[#All],[Insurance Category Code]],4, ACOAETME2022[[#All],[ACO/AE or Insurer Overall Organization ID]],Q127)+SUMIFS(ACOAETME2022[[#All],[Total Claims Excluded because of Truncation]], ACOAETME2022[[#All],[Insurance Category Code]],4, ACOAETME2022[[#All],[ACO/AE or Insurer Overall Organization ID]],Q127),2)=ROUND(SUMIFS(ACOAETME2022[[#All],[TOTAL Non-Truncated Unadjusted Claims Expenses]], ACOAETME2022[[#All],[Insurance Category Code]],4, ACOAETME2022[[#All],[ACO/AE or Insurer Overall Organization ID]],Q127), 2)</f>
        <v>1</v>
      </c>
      <c r="AG127" s="454" t="str">
        <f t="shared" si="26"/>
        <v>NA</v>
      </c>
    </row>
    <row r="128" spans="2:33" x14ac:dyDescent="0.35">
      <c r="B128" s="115">
        <v>106</v>
      </c>
      <c r="C128" s="192">
        <f>ROUND(SUMIFS(AgeSex21[[#All],[Total Member Months by Age/Sex Band]], AgeSex21[[#All],[ACO/AE ID or Insurer Overall]], $B128, AgeSex21[[#All], [Insurance Category Code]],4), 2)</f>
        <v>0</v>
      </c>
      <c r="D128" s="452">
        <f>ROUND(SUMIFS(AgeSex21[[#All],[Total Dollars Excluded from Spending After Applying Truncation at the Member Level]], AgeSex21[[#All],[ACO/AE ID or Insurer Overall]], $B128, AgeSex21[[#All], [Insurance Category Code]],4), 2)</f>
        <v>0</v>
      </c>
      <c r="E128" s="6">
        <f>ROUND(SUMIFS(AgeSex21[[#All],[Count of Members Whose Spending was Truncated]], AgeSex21[[#All],[ACO/AE ID or Insurer Overall]], $B128, AgeSex21[[#All], [Insurance Category Code]],4), 2)</f>
        <v>0</v>
      </c>
      <c r="F128" s="452">
        <f>ROUND(SUMIFS(AgeSex21[[#All],[Total Spending before Truncation is Applied]], AgeSex21[[#All],[ACO/AE ID or Insurer Overall]], $B128, AgeSex21[[#All], [Insurance Category Code]],4), 2)</f>
        <v>0</v>
      </c>
      <c r="G128" s="452">
        <f>ROUND(SUMIFS(AgeSex21[[#All],[Total Spending After Applying Truncation at the Member Level]], AgeSex21[[#All],[ACO/AE ID or Insurer Overall]], $B128, AgeSex21[[#All], [Insurance Category Code]],4), 2)</f>
        <v>0</v>
      </c>
      <c r="H128" s="6" t="str">
        <f>IF(C128=ROUND(SUMIFS(ACOAETME2021[[#All],[Member Months]], ACOAETME2021[[#All],[Insurance Category Code]],4, ACOAETME2021[[#All],[ACO/AE or Insurer Overall Organization ID]],B128),2), "TRUE", ROUND(C128-SUMIFS(ACOAETME2021[[#All],[Member Months]], ACOAETME2021[[#All],[Insurance Category Code]],4, ACOAETME2021[[#All],[ACO/AE or Insurer Overall Organization ID]],B128),2))</f>
        <v>TRUE</v>
      </c>
      <c r="I128" s="6" t="str">
        <f>IF(D128=ROUND(SUMIFS(ACOAETME2021[[#All],[Total Claims Excluded because of Truncation]], ACOAETME2021[[#All],[Insurance Category Code]],4, ACOAETME2021[[#All],[ACO/AE or Insurer Overall Organization ID]],B128),2), "TRUE", ROUND(D128-SUMIFS(ACOAETME2021[[#All],[Total Claims Excluded because of Truncation]], ACOAETME2021[[#All],[Insurance Category Code]],4, ACOAETME2021[[#All],[ACO/AE or Insurer Overall Organization ID]],B128),2))</f>
        <v>TRUE</v>
      </c>
      <c r="J128" s="6" t="str">
        <f>IF(E128=ROUND(SUMIFS(ACOAETME2021[[#All],[Count of Members with Claims Truncated]], ACOAETME2021[[#All],[Insurance Category Code]],4,ACOAETME2021[[#All],[ACO/AE or Insurer Overall Organization ID]],B128),2), "TRUE", ROUND(E128-SUMIFS(ACOAETME2021[[#All],[Count of Members with Claims Truncated]], ACOAETME2021[[#All],[Insurance Category Code]],4, ACOAETME2021[[#All],[ACO/AE or Insurer Overall Organization ID]],B128),2))</f>
        <v>TRUE</v>
      </c>
      <c r="K128" s="6" t="str">
        <f>IF(F128=ROUND(SUMIFS(ACOAETME2021[[#All],[TOTAL Non-Truncated Unadjusted Claims Expenses]], ACOAETME2021[[#All],[Insurance Category Code]],4, ACOAETME2021[[#All],[ACO/AE or Insurer Overall Organization ID]],B128),2), "TRUE", ROUND(F128-SUMIFS(ACOAETME2021[[#All],[TOTAL Non-Truncated Unadjusted Claims Expenses]], ACOAETME2021[[#All],[Insurance Category Code]],4, ACOAETME2021[[#All],[ACO/AE or Insurer Overall Organization ID]],B128),2))</f>
        <v>TRUE</v>
      </c>
      <c r="L128" s="6" t="str">
        <f>IF(G128=ROUND(SUMIFS(ACOAETME2021[[#All],[TOTAL Truncated Unadjusted Claims Expenses (A19 - A17)]], ACOAETME2021[[#All],[Insurance Category Code]],4, ACOAETME2021[[#All],[ACO/AE or Insurer Overall Organization ID]],B128),2), "TRUE", ROUND(G128-SUMIFS(ACOAETME2021[[#All],[TOTAL Truncated Unadjusted Claims Expenses (A19 - A17)]], ACOAETME2021[[#All],[Insurance Category Code]],4, ACOAETME2021[[#All],[ACO/AE or Insurer Overall Organization ID]],B128),2))</f>
        <v>TRUE</v>
      </c>
      <c r="M128" s="6" t="str">
        <f t="shared" si="27"/>
        <v>TRUE</v>
      </c>
      <c r="N128" s="6" t="b">
        <f>ROUND(SUMIFS(ACOAETME2021[[#All],[TOTAL Non-Truncated Unadjusted Claims Expenses]], ACOAETME2021[[#All],[Insurance Category Code]],4, ACOAETME2021[[#All],[ACO/AE or Insurer Overall Organization ID]],B128), 2)&gt;=ROUND(SUMIFS(ACOAETME2021[[#All],[TOTAL Truncated Unadjusted Claims Expenses (A19 - A17)]], ACOAETME2021[[#All],[Insurance Category Code]],4, ACOAETME2021[[#All],[ACO/AE or Insurer Overall Organization ID]],B128),2)</f>
        <v>1</v>
      </c>
      <c r="O128" s="6" t="b">
        <f>ROUND(SUMIFS(ACOAETME2021[[#All],[TOTAL Truncated Unadjusted Claims Expenses (A19 - A17)]], ACOAETME2021[[#All],[Insurance Category Code]],4, ACOAETME2021[[#All],[ACO/AE or Insurer Overall Organization ID]],B128)+SUMIFS(ACOAETME2021[[#All],[Total Claims Excluded because of Truncation]], ACOAETME2021[[#All],[Insurance Category Code]],4, ACOAETME2021[[#All],[ACO/AE or Insurer Overall Organization ID]],B128),2)=ROUND(SUMIFS(ACOAETME2021[[#All],[TOTAL Non-Truncated Unadjusted Claims Expenses]], ACOAETME2021[[#All],[Insurance Category Code]],4, ACOAETME2021[[#All],[ACO/AE or Insurer Overall Organization ID]],B128), 2)</f>
        <v>1</v>
      </c>
      <c r="Q128" s="115">
        <v>106</v>
      </c>
      <c r="R128" s="192">
        <f>ROUND(SUMIFS(AgeSex22[[#All],[Total Member Months by Age/Sex Band]], AgeSex22[[#All],[ACO/AE ID or Insurer Overall]], $B128, AgeSex22[[#All], [Insurance Category Code]],4), 2)</f>
        <v>0</v>
      </c>
      <c r="S128" s="452">
        <f>ROUND(SUMIFS(AgeSex22[[#All],[Total Dollars Excluded from Spending After Applying Truncation at the Member Level]], AgeSex22[[#All],[ACO/AE ID or Insurer Overall]], $B128, AgeSex22[[#All], [Insurance Category Code]],4), 2)</f>
        <v>0</v>
      </c>
      <c r="T128" s="6">
        <f>ROUND(SUMIFS(AgeSex22[[#All],[Count of Members Whose Spending was Truncated]], AgeSex22[[#All],[ACO/AE ID or Insurer Overall]], $B128, AgeSex22[[#All], [Insurance Category Code]],4), 2)</f>
        <v>0</v>
      </c>
      <c r="U128" s="452">
        <f>ROUND(SUMIFS(AgeSex22[[#All],[Total Spending before Truncation is Applied]], AgeSex22[[#All],[ACO/AE ID or Insurer Overall]], $B128, AgeSex22[[#All], [Insurance Category Code]],4), 2)</f>
        <v>0</v>
      </c>
      <c r="V128" s="452">
        <f>ROUND(SUMIFS(AgeSex22[[#All],[Total Spending After Applying Truncation at the Member Level]], AgeSex22[[#All],[ACO/AE ID or Insurer Overall]], $B128, AgeSex22[[#All], [Insurance Category Code]],4), 2)</f>
        <v>0</v>
      </c>
      <c r="W128" s="457" t="str">
        <f>IF(R128=ROUND(SUMIFS(ACOAETME2022[[#All],[Member Months]], ACOAETME2022[[#All],[Insurance Category Code]],4, ACOAETME2022[[#All],[ACO/AE or Insurer Overall Organization ID]],Q128),2), "TRUE", ROUND(R128-SUMIFS(ACOAETME2022[[#All],[Member Months]], ACOAETME2022[[#All],[Insurance Category Code]],4, ACOAETME2022[[#All],[ACO/AE or Insurer Overall Organization ID]],Q128),2))</f>
        <v>TRUE</v>
      </c>
      <c r="X128" s="6" t="str">
        <f>IF(S128=ROUND(SUMIFS(ACOAETME2022[[#All],[Total Claims Excluded because of Truncation]], ACOAETME2022[[#All],[Insurance Category Code]],4, ACOAETME2022[[#All],[ACO/AE or Insurer Overall Organization ID]],Q128),2), "TRUE", ROUND(S128-SUMIFS(ACOAETME2022[[#All],[Total Claims Excluded because of Truncation]], ACOAETME2022[[#All],[Insurance Category Code]],4, ACOAETME2022[[#All],[ACO/AE or Insurer Overall Organization ID]],Q128),2))</f>
        <v>TRUE</v>
      </c>
      <c r="Y128" s="6" t="str">
        <f>IF(T128=ROUND(SUMIFS(ACOAETME2022[[#All],[Count of Members with Claims Truncated]], ACOAETME2022[[#All],[Insurance Category Code]],4,ACOAETME2022[[#All],[ACO/AE or Insurer Overall Organization ID]],Q128),2), "TRUE", ROUND(T128-SUMIFS(ACOAETME2022[[#All],[Count of Members with Claims Truncated]], ACOAETME2022[[#All],[Insurance Category Code]],4, ACOAETME2022[[#All],[ACO/AE or Insurer Overall Organization ID]],Q128),2))</f>
        <v>TRUE</v>
      </c>
      <c r="Z128" s="6" t="str">
        <f>IF(U128=ROUND(SUMIFS(ACOAETME2022[[#All],[TOTAL Non-Truncated Unadjusted Claims Expenses]], ACOAETME2022[[#All],[Insurance Category Code]],4, ACOAETME2022[[#All],[ACO/AE or Insurer Overall Organization ID]],Q128),2), "TRUE", ROUND(U128-SUMIFS(ACOAETME2022[[#All],[TOTAL Non-Truncated Unadjusted Claims Expenses]], ACOAETME2022[[#All],[Insurance Category Code]],4, ACOAETME2022[[#All],[ACO/AE or Insurer Overall Organization ID]],Q128),2))</f>
        <v>TRUE</v>
      </c>
      <c r="AA128" s="6" t="str">
        <f>IF(V128=ROUND(SUMIFS(ACOAETME2022[[#All],[TOTAL Truncated Unadjusted Claims Expenses (A19 - A17)]], ACOAETME2022[[#All],[Insurance Category Code]],4, ACOAETME2022[[#All],[ACO/AE or Insurer Overall Organization ID]],Q128),2), "TRUE", ROUND(V128-SUMIFS(ACOAETME2022[[#All],[TOTAL Truncated Unadjusted Claims Expenses (A19 - A17)]], ACOAETME2022[[#All],[Insurance Category Code]],4, ACOAETME2022[[#All],[ACO/AE or Insurer Overall Organization ID]],Q128),2))</f>
        <v>TRUE</v>
      </c>
      <c r="AB128" s="6" t="str">
        <f t="shared" si="25"/>
        <v>TRUE</v>
      </c>
      <c r="AC128" s="6" t="b">
        <f>ROUND(SUMIFS(ACOAETME2022[[#All],[TOTAL Non-Truncated Unadjusted Claims Expenses]], ACOAETME2022[[#All],[Insurance Category Code]],4, ACOAETME2022[[#All],[ACO/AE or Insurer Overall Organization ID]],Q128), 2)&gt;=ROUND(SUMIFS(ACOAETME2022[[#All],[TOTAL Truncated Unadjusted Claims Expenses (A19 - A17)]], ACOAETME2022[[#All],[Insurance Category Code]],4, ACOAETME2022[[#All],[ACO/AE or Insurer Overall Organization ID]],Q128),2)</f>
        <v>1</v>
      </c>
      <c r="AD128" s="6" t="b">
        <f>ROUND(SUMIFS(ACOAETME2022[[#All],[TOTAL Truncated Unadjusted Claims Expenses (A19 - A17)]], ACOAETME2022[[#All],[Insurance Category Code]],4, ACOAETME2022[[#All],[ACO/AE or Insurer Overall Organization ID]],Q128)+SUMIFS(ACOAETME2022[[#All],[Total Claims Excluded because of Truncation]], ACOAETME2022[[#All],[Insurance Category Code]],4, ACOAETME2022[[#All],[ACO/AE or Insurer Overall Organization ID]],Q128),2)=ROUND(SUMIFS(ACOAETME2022[[#All],[TOTAL Non-Truncated Unadjusted Claims Expenses]], ACOAETME2022[[#All],[Insurance Category Code]],4, ACOAETME2022[[#All],[ACO/AE or Insurer Overall Organization ID]],Q128), 2)</f>
        <v>1</v>
      </c>
      <c r="AG128" s="454" t="str">
        <f t="shared" si="26"/>
        <v>NA</v>
      </c>
    </row>
    <row r="129" spans="2:33" x14ac:dyDescent="0.35">
      <c r="B129" s="115">
        <v>107</v>
      </c>
      <c r="C129" s="192">
        <f>ROUND(SUMIFS(AgeSex21[[#All],[Total Member Months by Age/Sex Band]], AgeSex21[[#All],[ACO/AE ID or Insurer Overall]], $B129, AgeSex21[[#All], [Insurance Category Code]],4), 2)</f>
        <v>0</v>
      </c>
      <c r="D129" s="452">
        <f>ROUND(SUMIFS(AgeSex21[[#All],[Total Dollars Excluded from Spending After Applying Truncation at the Member Level]], AgeSex21[[#All],[ACO/AE ID or Insurer Overall]], $B129, AgeSex21[[#All], [Insurance Category Code]],4), 2)</f>
        <v>0</v>
      </c>
      <c r="E129" s="6">
        <f>ROUND(SUMIFS(AgeSex21[[#All],[Count of Members Whose Spending was Truncated]], AgeSex21[[#All],[ACO/AE ID or Insurer Overall]], $B129, AgeSex21[[#All], [Insurance Category Code]],4), 2)</f>
        <v>0</v>
      </c>
      <c r="F129" s="452">
        <f>ROUND(SUMIFS(AgeSex21[[#All],[Total Spending before Truncation is Applied]], AgeSex21[[#All],[ACO/AE ID or Insurer Overall]], $B129, AgeSex21[[#All], [Insurance Category Code]],4), 2)</f>
        <v>0</v>
      </c>
      <c r="G129" s="452">
        <f>ROUND(SUMIFS(AgeSex21[[#All],[Total Spending After Applying Truncation at the Member Level]], AgeSex21[[#All],[ACO/AE ID or Insurer Overall]], $B129, AgeSex21[[#All], [Insurance Category Code]],4), 2)</f>
        <v>0</v>
      </c>
      <c r="H129" s="6" t="str">
        <f>IF(C129=ROUND(SUMIFS(ACOAETME2021[[#All],[Member Months]], ACOAETME2021[[#All],[Insurance Category Code]],4, ACOAETME2021[[#All],[ACO/AE or Insurer Overall Organization ID]],B129),2), "TRUE", ROUND(C129-SUMIFS(ACOAETME2021[[#All],[Member Months]], ACOAETME2021[[#All],[Insurance Category Code]],4, ACOAETME2021[[#All],[ACO/AE or Insurer Overall Organization ID]],B129),2))</f>
        <v>TRUE</v>
      </c>
      <c r="I129" s="6" t="str">
        <f>IF(D129=ROUND(SUMIFS(ACOAETME2021[[#All],[Total Claims Excluded because of Truncation]], ACOAETME2021[[#All],[Insurance Category Code]],4, ACOAETME2021[[#All],[ACO/AE or Insurer Overall Organization ID]],B129),2), "TRUE", ROUND(D129-SUMIFS(ACOAETME2021[[#All],[Total Claims Excluded because of Truncation]], ACOAETME2021[[#All],[Insurance Category Code]],4, ACOAETME2021[[#All],[ACO/AE or Insurer Overall Organization ID]],B129),2))</f>
        <v>TRUE</v>
      </c>
      <c r="J129" s="6" t="str">
        <f>IF(E129=ROUND(SUMIFS(ACOAETME2021[[#All],[Count of Members with Claims Truncated]], ACOAETME2021[[#All],[Insurance Category Code]],4,ACOAETME2021[[#All],[ACO/AE or Insurer Overall Organization ID]],B129),2), "TRUE", ROUND(E129-SUMIFS(ACOAETME2021[[#All],[Count of Members with Claims Truncated]], ACOAETME2021[[#All],[Insurance Category Code]],4, ACOAETME2021[[#All],[ACO/AE or Insurer Overall Organization ID]],B129),2))</f>
        <v>TRUE</v>
      </c>
      <c r="K129" s="6" t="str">
        <f>IF(F129=ROUND(SUMIFS(ACOAETME2021[[#All],[TOTAL Non-Truncated Unadjusted Claims Expenses]], ACOAETME2021[[#All],[Insurance Category Code]],4, ACOAETME2021[[#All],[ACO/AE or Insurer Overall Organization ID]],B129),2), "TRUE", ROUND(F129-SUMIFS(ACOAETME2021[[#All],[TOTAL Non-Truncated Unadjusted Claims Expenses]], ACOAETME2021[[#All],[Insurance Category Code]],4, ACOAETME2021[[#All],[ACO/AE or Insurer Overall Organization ID]],B129),2))</f>
        <v>TRUE</v>
      </c>
      <c r="L129" s="6" t="str">
        <f>IF(G129=ROUND(SUMIFS(ACOAETME2021[[#All],[TOTAL Truncated Unadjusted Claims Expenses (A19 - A17)]], ACOAETME2021[[#All],[Insurance Category Code]],4, ACOAETME2021[[#All],[ACO/AE or Insurer Overall Organization ID]],B129),2), "TRUE", ROUND(G129-SUMIFS(ACOAETME2021[[#All],[TOTAL Truncated Unadjusted Claims Expenses (A19 - A17)]], ACOAETME2021[[#All],[Insurance Category Code]],4, ACOAETME2021[[#All],[ACO/AE or Insurer Overall Organization ID]],B129),2))</f>
        <v>TRUE</v>
      </c>
      <c r="M129" s="6" t="str">
        <f t="shared" si="27"/>
        <v>TRUE</v>
      </c>
      <c r="N129" s="6" t="b">
        <f>ROUND(SUMIFS(ACOAETME2021[[#All],[TOTAL Non-Truncated Unadjusted Claims Expenses]], ACOAETME2021[[#All],[Insurance Category Code]],4, ACOAETME2021[[#All],[ACO/AE or Insurer Overall Organization ID]],B129), 2)&gt;=ROUND(SUMIFS(ACOAETME2021[[#All],[TOTAL Truncated Unadjusted Claims Expenses (A19 - A17)]], ACOAETME2021[[#All],[Insurance Category Code]],4, ACOAETME2021[[#All],[ACO/AE or Insurer Overall Organization ID]],B129),2)</f>
        <v>1</v>
      </c>
      <c r="O129" s="6" t="b">
        <f>ROUND(SUMIFS(ACOAETME2021[[#All],[TOTAL Truncated Unadjusted Claims Expenses (A19 - A17)]], ACOAETME2021[[#All],[Insurance Category Code]],4, ACOAETME2021[[#All],[ACO/AE or Insurer Overall Organization ID]],B129)+SUMIFS(ACOAETME2021[[#All],[Total Claims Excluded because of Truncation]], ACOAETME2021[[#All],[Insurance Category Code]],4, ACOAETME2021[[#All],[ACO/AE or Insurer Overall Organization ID]],B129),2)=ROUND(SUMIFS(ACOAETME2021[[#All],[TOTAL Non-Truncated Unadjusted Claims Expenses]], ACOAETME2021[[#All],[Insurance Category Code]],4, ACOAETME2021[[#All],[ACO/AE or Insurer Overall Organization ID]],B129), 2)</f>
        <v>1</v>
      </c>
      <c r="Q129" s="115">
        <v>107</v>
      </c>
      <c r="R129" s="192">
        <f>ROUND(SUMIFS(AgeSex22[[#All],[Total Member Months by Age/Sex Band]], AgeSex22[[#All],[ACO/AE ID or Insurer Overall]], $B129, AgeSex22[[#All], [Insurance Category Code]],4), 2)</f>
        <v>0</v>
      </c>
      <c r="S129" s="452">
        <f>ROUND(SUMIFS(AgeSex22[[#All],[Total Dollars Excluded from Spending After Applying Truncation at the Member Level]], AgeSex22[[#All],[ACO/AE ID or Insurer Overall]], $B129, AgeSex22[[#All], [Insurance Category Code]],4), 2)</f>
        <v>0</v>
      </c>
      <c r="T129" s="6">
        <f>ROUND(SUMIFS(AgeSex22[[#All],[Count of Members Whose Spending was Truncated]], AgeSex22[[#All],[ACO/AE ID or Insurer Overall]], $B129, AgeSex22[[#All], [Insurance Category Code]],4), 2)</f>
        <v>0</v>
      </c>
      <c r="U129" s="452">
        <f>ROUND(SUMIFS(AgeSex22[[#All],[Total Spending before Truncation is Applied]], AgeSex22[[#All],[ACO/AE ID or Insurer Overall]], $B129, AgeSex22[[#All], [Insurance Category Code]],4), 2)</f>
        <v>0</v>
      </c>
      <c r="V129" s="452">
        <f>ROUND(SUMIFS(AgeSex22[[#All],[Total Spending After Applying Truncation at the Member Level]], AgeSex22[[#All],[ACO/AE ID or Insurer Overall]], $B129, AgeSex22[[#All], [Insurance Category Code]],4), 2)</f>
        <v>0</v>
      </c>
      <c r="W129" s="457" t="str">
        <f>IF(R129=ROUND(SUMIFS(ACOAETME2022[[#All],[Member Months]], ACOAETME2022[[#All],[Insurance Category Code]],4, ACOAETME2022[[#All],[ACO/AE or Insurer Overall Organization ID]],Q129),2), "TRUE", ROUND(R129-SUMIFS(ACOAETME2022[[#All],[Member Months]], ACOAETME2022[[#All],[Insurance Category Code]],4, ACOAETME2022[[#All],[ACO/AE or Insurer Overall Organization ID]],Q129),2))</f>
        <v>TRUE</v>
      </c>
      <c r="X129" s="6" t="str">
        <f>IF(S129=ROUND(SUMIFS(ACOAETME2022[[#All],[Total Claims Excluded because of Truncation]], ACOAETME2022[[#All],[Insurance Category Code]],4, ACOAETME2022[[#All],[ACO/AE or Insurer Overall Organization ID]],Q129),2), "TRUE", ROUND(S129-SUMIFS(ACOAETME2022[[#All],[Total Claims Excluded because of Truncation]], ACOAETME2022[[#All],[Insurance Category Code]],4, ACOAETME2022[[#All],[ACO/AE or Insurer Overall Organization ID]],Q129),2))</f>
        <v>TRUE</v>
      </c>
      <c r="Y129" s="6" t="str">
        <f>IF(T129=ROUND(SUMIFS(ACOAETME2022[[#All],[Count of Members with Claims Truncated]], ACOAETME2022[[#All],[Insurance Category Code]],4,ACOAETME2022[[#All],[ACO/AE or Insurer Overall Organization ID]],Q129),2), "TRUE", ROUND(T129-SUMIFS(ACOAETME2022[[#All],[Count of Members with Claims Truncated]], ACOAETME2022[[#All],[Insurance Category Code]],4, ACOAETME2022[[#All],[ACO/AE or Insurer Overall Organization ID]],Q129),2))</f>
        <v>TRUE</v>
      </c>
      <c r="Z129" s="6" t="str">
        <f>IF(U129=ROUND(SUMIFS(ACOAETME2022[[#All],[TOTAL Non-Truncated Unadjusted Claims Expenses]], ACOAETME2022[[#All],[Insurance Category Code]],4, ACOAETME2022[[#All],[ACO/AE or Insurer Overall Organization ID]],Q129),2), "TRUE", ROUND(U129-SUMIFS(ACOAETME2022[[#All],[TOTAL Non-Truncated Unadjusted Claims Expenses]], ACOAETME2022[[#All],[Insurance Category Code]],4, ACOAETME2022[[#All],[ACO/AE or Insurer Overall Organization ID]],Q129),2))</f>
        <v>TRUE</v>
      </c>
      <c r="AA129" s="6" t="str">
        <f>IF(V129=ROUND(SUMIFS(ACOAETME2022[[#All],[TOTAL Truncated Unadjusted Claims Expenses (A19 - A17)]], ACOAETME2022[[#All],[Insurance Category Code]],4, ACOAETME2022[[#All],[ACO/AE or Insurer Overall Organization ID]],Q129),2), "TRUE", ROUND(V129-SUMIFS(ACOAETME2022[[#All],[TOTAL Truncated Unadjusted Claims Expenses (A19 - A17)]], ACOAETME2022[[#All],[Insurance Category Code]],4, ACOAETME2022[[#All],[ACO/AE or Insurer Overall Organization ID]],Q129),2))</f>
        <v>TRUE</v>
      </c>
      <c r="AB129" s="6" t="str">
        <f t="shared" si="25"/>
        <v>TRUE</v>
      </c>
      <c r="AC129" s="6" t="b">
        <f>ROUND(SUMIFS(ACOAETME2022[[#All],[TOTAL Non-Truncated Unadjusted Claims Expenses]], ACOAETME2022[[#All],[Insurance Category Code]],4, ACOAETME2022[[#All],[ACO/AE or Insurer Overall Organization ID]],Q129), 2)&gt;=ROUND(SUMIFS(ACOAETME2022[[#All],[TOTAL Truncated Unadjusted Claims Expenses (A19 - A17)]], ACOAETME2022[[#All],[Insurance Category Code]],4, ACOAETME2022[[#All],[ACO/AE or Insurer Overall Organization ID]],Q129),2)</f>
        <v>1</v>
      </c>
      <c r="AD129" s="6" t="b">
        <f>ROUND(SUMIFS(ACOAETME2022[[#All],[TOTAL Truncated Unadjusted Claims Expenses (A19 - A17)]], ACOAETME2022[[#All],[Insurance Category Code]],4, ACOAETME2022[[#All],[ACO/AE or Insurer Overall Organization ID]],Q129)+SUMIFS(ACOAETME2022[[#All],[Total Claims Excluded because of Truncation]], ACOAETME2022[[#All],[Insurance Category Code]],4, ACOAETME2022[[#All],[ACO/AE or Insurer Overall Organization ID]],Q129),2)=ROUND(SUMIFS(ACOAETME2022[[#All],[TOTAL Non-Truncated Unadjusted Claims Expenses]], ACOAETME2022[[#All],[Insurance Category Code]],4, ACOAETME2022[[#All],[ACO/AE or Insurer Overall Organization ID]],Q129), 2)</f>
        <v>1</v>
      </c>
      <c r="AG129" s="454" t="str">
        <f t="shared" si="26"/>
        <v>NA</v>
      </c>
    </row>
    <row r="130" spans="2:33" x14ac:dyDescent="0.35">
      <c r="B130" s="115">
        <v>108</v>
      </c>
      <c r="C130" s="192">
        <f>ROUND(SUMIFS(AgeSex21[[#All],[Total Member Months by Age/Sex Band]], AgeSex21[[#All],[ACO/AE ID or Insurer Overall]], $B130, AgeSex21[[#All], [Insurance Category Code]],4), 2)</f>
        <v>0</v>
      </c>
      <c r="D130" s="452">
        <f>ROUND(SUMIFS(AgeSex21[[#All],[Total Dollars Excluded from Spending After Applying Truncation at the Member Level]], AgeSex21[[#All],[ACO/AE ID or Insurer Overall]], $B130, AgeSex21[[#All], [Insurance Category Code]],4), 2)</f>
        <v>0</v>
      </c>
      <c r="E130" s="6">
        <f>ROUND(SUMIFS(AgeSex21[[#All],[Count of Members Whose Spending was Truncated]], AgeSex21[[#All],[ACO/AE ID or Insurer Overall]], $B130, AgeSex21[[#All], [Insurance Category Code]],4), 2)</f>
        <v>0</v>
      </c>
      <c r="F130" s="452">
        <f>ROUND(SUMIFS(AgeSex21[[#All],[Total Spending before Truncation is Applied]], AgeSex21[[#All],[ACO/AE ID or Insurer Overall]], $B130, AgeSex21[[#All], [Insurance Category Code]],4), 2)</f>
        <v>0</v>
      </c>
      <c r="G130" s="452">
        <f>ROUND(SUMIFS(AgeSex21[[#All],[Total Spending After Applying Truncation at the Member Level]], AgeSex21[[#All],[ACO/AE ID or Insurer Overall]], $B130, AgeSex21[[#All], [Insurance Category Code]],4), 2)</f>
        <v>0</v>
      </c>
      <c r="H130" s="6" t="str">
        <f>IF(C130=ROUND(SUMIFS(ACOAETME2021[[#All],[Member Months]], ACOAETME2021[[#All],[Insurance Category Code]],4, ACOAETME2021[[#All],[ACO/AE or Insurer Overall Organization ID]],B130),2), "TRUE", ROUND(C130-SUMIFS(ACOAETME2021[[#All],[Member Months]], ACOAETME2021[[#All],[Insurance Category Code]],4, ACOAETME2021[[#All],[ACO/AE or Insurer Overall Organization ID]],B130),2))</f>
        <v>TRUE</v>
      </c>
      <c r="I130" s="6" t="str">
        <f>IF(D130=ROUND(SUMIFS(ACOAETME2021[[#All],[Total Claims Excluded because of Truncation]], ACOAETME2021[[#All],[Insurance Category Code]],4, ACOAETME2021[[#All],[ACO/AE or Insurer Overall Organization ID]],B130),2), "TRUE", ROUND(D130-SUMIFS(ACOAETME2021[[#All],[Total Claims Excluded because of Truncation]], ACOAETME2021[[#All],[Insurance Category Code]],4, ACOAETME2021[[#All],[ACO/AE or Insurer Overall Organization ID]],B130),2))</f>
        <v>TRUE</v>
      </c>
      <c r="J130" s="6" t="str">
        <f>IF(E130=ROUND(SUMIFS(ACOAETME2021[[#All],[Count of Members with Claims Truncated]], ACOAETME2021[[#All],[Insurance Category Code]],4,ACOAETME2021[[#All],[ACO/AE or Insurer Overall Organization ID]],B130),2), "TRUE", ROUND(E130-SUMIFS(ACOAETME2021[[#All],[Count of Members with Claims Truncated]], ACOAETME2021[[#All],[Insurance Category Code]],4, ACOAETME2021[[#All],[ACO/AE or Insurer Overall Organization ID]],B130),2))</f>
        <v>TRUE</v>
      </c>
      <c r="K130" s="6" t="str">
        <f>IF(F130=ROUND(SUMIFS(ACOAETME2021[[#All],[TOTAL Non-Truncated Unadjusted Claims Expenses]], ACOAETME2021[[#All],[Insurance Category Code]],4, ACOAETME2021[[#All],[ACO/AE or Insurer Overall Organization ID]],B130),2), "TRUE", ROUND(F130-SUMIFS(ACOAETME2021[[#All],[TOTAL Non-Truncated Unadjusted Claims Expenses]], ACOAETME2021[[#All],[Insurance Category Code]],4, ACOAETME2021[[#All],[ACO/AE or Insurer Overall Organization ID]],B130),2))</f>
        <v>TRUE</v>
      </c>
      <c r="L130" s="6" t="str">
        <f>IF(G130=ROUND(SUMIFS(ACOAETME2021[[#All],[TOTAL Truncated Unadjusted Claims Expenses (A19 - A17)]], ACOAETME2021[[#All],[Insurance Category Code]],4, ACOAETME2021[[#All],[ACO/AE or Insurer Overall Organization ID]],B130),2), "TRUE", ROUND(G130-SUMIFS(ACOAETME2021[[#All],[TOTAL Truncated Unadjusted Claims Expenses (A19 - A17)]], ACOAETME2021[[#All],[Insurance Category Code]],4, ACOAETME2021[[#All],[ACO/AE or Insurer Overall Organization ID]],B130),2))</f>
        <v>TRUE</v>
      </c>
      <c r="M130" s="6" t="str">
        <f t="shared" si="27"/>
        <v>TRUE</v>
      </c>
      <c r="N130" s="6" t="b">
        <f>ROUND(SUMIFS(ACOAETME2021[[#All],[TOTAL Non-Truncated Unadjusted Claims Expenses]], ACOAETME2021[[#All],[Insurance Category Code]],4, ACOAETME2021[[#All],[ACO/AE or Insurer Overall Organization ID]],B130), 2)&gt;=ROUND(SUMIFS(ACOAETME2021[[#All],[TOTAL Truncated Unadjusted Claims Expenses (A19 - A17)]], ACOAETME2021[[#All],[Insurance Category Code]],4, ACOAETME2021[[#All],[ACO/AE or Insurer Overall Organization ID]],B130),2)</f>
        <v>1</v>
      </c>
      <c r="O130" s="6" t="b">
        <f>ROUND(SUMIFS(ACOAETME2021[[#All],[TOTAL Truncated Unadjusted Claims Expenses (A19 - A17)]], ACOAETME2021[[#All],[Insurance Category Code]],4, ACOAETME2021[[#All],[ACO/AE or Insurer Overall Organization ID]],B130)+SUMIFS(ACOAETME2021[[#All],[Total Claims Excluded because of Truncation]], ACOAETME2021[[#All],[Insurance Category Code]],4, ACOAETME2021[[#All],[ACO/AE or Insurer Overall Organization ID]],B130),2)=ROUND(SUMIFS(ACOAETME2021[[#All],[TOTAL Non-Truncated Unadjusted Claims Expenses]], ACOAETME2021[[#All],[Insurance Category Code]],4, ACOAETME2021[[#All],[ACO/AE or Insurer Overall Organization ID]],B130), 2)</f>
        <v>1</v>
      </c>
      <c r="Q130" s="115">
        <v>108</v>
      </c>
      <c r="R130" s="192">
        <f>ROUND(SUMIFS(AgeSex22[[#All],[Total Member Months by Age/Sex Band]], AgeSex22[[#All],[ACO/AE ID or Insurer Overall]], $B130, AgeSex22[[#All], [Insurance Category Code]],4), 2)</f>
        <v>0</v>
      </c>
      <c r="S130" s="452">
        <f>ROUND(SUMIFS(AgeSex22[[#All],[Total Dollars Excluded from Spending After Applying Truncation at the Member Level]], AgeSex22[[#All],[ACO/AE ID or Insurer Overall]], $B130, AgeSex22[[#All], [Insurance Category Code]],4), 2)</f>
        <v>0</v>
      </c>
      <c r="T130" s="6">
        <f>ROUND(SUMIFS(AgeSex22[[#All],[Count of Members Whose Spending was Truncated]], AgeSex22[[#All],[ACO/AE ID or Insurer Overall]], $B130, AgeSex22[[#All], [Insurance Category Code]],4), 2)</f>
        <v>0</v>
      </c>
      <c r="U130" s="452">
        <f>ROUND(SUMIFS(AgeSex22[[#All],[Total Spending before Truncation is Applied]], AgeSex22[[#All],[ACO/AE ID or Insurer Overall]], $B130, AgeSex22[[#All], [Insurance Category Code]],4), 2)</f>
        <v>0</v>
      </c>
      <c r="V130" s="452">
        <f>ROUND(SUMIFS(AgeSex22[[#All],[Total Spending After Applying Truncation at the Member Level]], AgeSex22[[#All],[ACO/AE ID or Insurer Overall]], $B130, AgeSex22[[#All], [Insurance Category Code]],4), 2)</f>
        <v>0</v>
      </c>
      <c r="W130" s="457" t="str">
        <f>IF(R130=ROUND(SUMIFS(ACOAETME2022[[#All],[Member Months]], ACOAETME2022[[#All],[Insurance Category Code]],4, ACOAETME2022[[#All],[ACO/AE or Insurer Overall Organization ID]],Q130),2), "TRUE", ROUND(R130-SUMIFS(ACOAETME2022[[#All],[Member Months]], ACOAETME2022[[#All],[Insurance Category Code]],4, ACOAETME2022[[#All],[ACO/AE or Insurer Overall Organization ID]],Q130),2))</f>
        <v>TRUE</v>
      </c>
      <c r="X130" s="6" t="str">
        <f>IF(S130=ROUND(SUMIFS(ACOAETME2022[[#All],[Total Claims Excluded because of Truncation]], ACOAETME2022[[#All],[Insurance Category Code]],4, ACOAETME2022[[#All],[ACO/AE or Insurer Overall Organization ID]],Q130),2), "TRUE", ROUND(S130-SUMIFS(ACOAETME2022[[#All],[Total Claims Excluded because of Truncation]], ACOAETME2022[[#All],[Insurance Category Code]],4, ACOAETME2022[[#All],[ACO/AE or Insurer Overall Organization ID]],Q130),2))</f>
        <v>TRUE</v>
      </c>
      <c r="Y130" s="6" t="str">
        <f>IF(T130=ROUND(SUMIFS(ACOAETME2022[[#All],[Count of Members with Claims Truncated]], ACOAETME2022[[#All],[Insurance Category Code]],4,ACOAETME2022[[#All],[ACO/AE or Insurer Overall Organization ID]],Q130),2), "TRUE", ROUND(T130-SUMIFS(ACOAETME2022[[#All],[Count of Members with Claims Truncated]], ACOAETME2022[[#All],[Insurance Category Code]],4, ACOAETME2022[[#All],[ACO/AE or Insurer Overall Organization ID]],Q130),2))</f>
        <v>TRUE</v>
      </c>
      <c r="Z130" s="6" t="str">
        <f>IF(U130=ROUND(SUMIFS(ACOAETME2022[[#All],[TOTAL Non-Truncated Unadjusted Claims Expenses]], ACOAETME2022[[#All],[Insurance Category Code]],4, ACOAETME2022[[#All],[ACO/AE or Insurer Overall Organization ID]],Q130),2), "TRUE", ROUND(U130-SUMIFS(ACOAETME2022[[#All],[TOTAL Non-Truncated Unadjusted Claims Expenses]], ACOAETME2022[[#All],[Insurance Category Code]],4, ACOAETME2022[[#All],[ACO/AE or Insurer Overall Organization ID]],Q130),2))</f>
        <v>TRUE</v>
      </c>
      <c r="AA130" s="6" t="str">
        <f>IF(V130=ROUND(SUMIFS(ACOAETME2022[[#All],[TOTAL Truncated Unadjusted Claims Expenses (A19 - A17)]], ACOAETME2022[[#All],[Insurance Category Code]],4, ACOAETME2022[[#All],[ACO/AE or Insurer Overall Organization ID]],Q130),2), "TRUE", ROUND(V130-SUMIFS(ACOAETME2022[[#All],[TOTAL Truncated Unadjusted Claims Expenses (A19 - A17)]], ACOAETME2022[[#All],[Insurance Category Code]],4, ACOAETME2022[[#All],[ACO/AE or Insurer Overall Organization ID]],Q130),2))</f>
        <v>TRUE</v>
      </c>
      <c r="AB130" s="6" t="str">
        <f t="shared" si="25"/>
        <v>TRUE</v>
      </c>
      <c r="AC130" s="6" t="b">
        <f>ROUND(SUMIFS(ACOAETME2022[[#All],[TOTAL Non-Truncated Unadjusted Claims Expenses]], ACOAETME2022[[#All],[Insurance Category Code]],4, ACOAETME2022[[#All],[ACO/AE or Insurer Overall Organization ID]],Q130), 2)&gt;=ROUND(SUMIFS(ACOAETME2022[[#All],[TOTAL Truncated Unadjusted Claims Expenses (A19 - A17)]], ACOAETME2022[[#All],[Insurance Category Code]],4, ACOAETME2022[[#All],[ACO/AE or Insurer Overall Organization ID]],Q130),2)</f>
        <v>1</v>
      </c>
      <c r="AD130" s="6" t="b">
        <f>ROUND(SUMIFS(ACOAETME2022[[#All],[TOTAL Truncated Unadjusted Claims Expenses (A19 - A17)]], ACOAETME2022[[#All],[Insurance Category Code]],4, ACOAETME2022[[#All],[ACO/AE or Insurer Overall Organization ID]],Q130)+SUMIFS(ACOAETME2022[[#All],[Total Claims Excluded because of Truncation]], ACOAETME2022[[#All],[Insurance Category Code]],4, ACOAETME2022[[#All],[ACO/AE or Insurer Overall Organization ID]],Q130),2)=ROUND(SUMIFS(ACOAETME2022[[#All],[TOTAL Non-Truncated Unadjusted Claims Expenses]], ACOAETME2022[[#All],[Insurance Category Code]],4, ACOAETME2022[[#All],[ACO/AE or Insurer Overall Organization ID]],Q130), 2)</f>
        <v>1</v>
      </c>
      <c r="AG130" s="454" t="str">
        <f t="shared" si="26"/>
        <v>NA</v>
      </c>
    </row>
    <row r="131" spans="2:33" x14ac:dyDescent="0.35">
      <c r="B131" s="7">
        <v>999</v>
      </c>
      <c r="C131" s="194">
        <f>ROUND(SUMIFS(AgeSex21[[#All],[Total Member Months by Age/Sex Band]], AgeSex21[[#All],[ACO/AE ID or Insurer Overall]], $B131, AgeSex21[[#All], [Insurance Category Code]],4), 2)</f>
        <v>0</v>
      </c>
      <c r="D131" s="452">
        <f>ROUND(SUMIFS(AgeSex21[[#All],[Total Dollars Excluded from Spending After Applying Truncation at the Member Level]], AgeSex21[[#All],[ACO/AE ID or Insurer Overall]], $B131, AgeSex21[[#All], [Insurance Category Code]],4), 2)</f>
        <v>0</v>
      </c>
      <c r="E131" s="6">
        <f>ROUND(SUMIFS(AgeSex21[[#All],[Count of Members Whose Spending was Truncated]], AgeSex21[[#All],[ACO/AE ID or Insurer Overall]], $B131, AgeSex21[[#All], [Insurance Category Code]],4), 2)</f>
        <v>0</v>
      </c>
      <c r="F131" s="452">
        <f>ROUND(SUMIFS(AgeSex21[[#All],[Total Spending before Truncation is Applied]], AgeSex21[[#All],[ACO/AE ID or Insurer Overall]], $B131, AgeSex21[[#All], [Insurance Category Code]],4), 2)</f>
        <v>0</v>
      </c>
      <c r="G131" s="452">
        <f>ROUND(SUMIFS(AgeSex21[[#All],[Total Spending After Applying Truncation at the Member Level]], AgeSex21[[#All],[ACO/AE ID or Insurer Overall]], $B131, AgeSex21[[#All], [Insurance Category Code]],4), 2)</f>
        <v>0</v>
      </c>
      <c r="H131" s="6" t="str">
        <f>IF(C131=ROUND(SUMIFS(ACOAETME2021[[#All],[Member Months]], ACOAETME2021[[#All],[Insurance Category Code]],4, ACOAETME2021[[#All],[ACO/AE or Insurer Overall Organization ID]],B131),2), "TRUE", ROUND(C131-SUMIFS(ACOAETME2021[[#All],[Member Months]], ACOAETME2021[[#All],[Insurance Category Code]],4, ACOAETME2021[[#All],[ACO/AE or Insurer Overall Organization ID]],B131),2))</f>
        <v>TRUE</v>
      </c>
      <c r="I131" s="6" t="str">
        <f>IF(D131=ROUND(SUMIFS(ACOAETME2021[[#All],[Total Claims Excluded because of Truncation]], ACOAETME2021[[#All],[Insurance Category Code]],4, ACOAETME2021[[#All],[ACO/AE or Insurer Overall Organization ID]],B131),2), "TRUE", ROUND(D131-SUMIFS(ACOAETME2021[[#All],[Total Claims Excluded because of Truncation]], ACOAETME2021[[#All],[Insurance Category Code]],4, ACOAETME2021[[#All],[ACO/AE or Insurer Overall Organization ID]],B131),2))</f>
        <v>TRUE</v>
      </c>
      <c r="J131" s="6" t="str">
        <f>IF(E131=ROUND(SUMIFS(ACOAETME2021[[#All],[Count of Members with Claims Truncated]], ACOAETME2021[[#All],[Insurance Category Code]],4,ACOAETME2021[[#All],[ACO/AE or Insurer Overall Organization ID]],B131),2), "TRUE", ROUND(E131-SUMIFS(ACOAETME2021[[#All],[Count of Members with Claims Truncated]], ACOAETME2021[[#All],[Insurance Category Code]],4, ACOAETME2021[[#All],[ACO/AE or Insurer Overall Organization ID]],B131),2))</f>
        <v>TRUE</v>
      </c>
      <c r="K131" s="6" t="str">
        <f>IF(F131=ROUND(SUMIFS(ACOAETME2021[[#All],[TOTAL Non-Truncated Unadjusted Claims Expenses]], ACOAETME2021[[#All],[Insurance Category Code]],4, ACOAETME2021[[#All],[ACO/AE or Insurer Overall Organization ID]],B131),2), "TRUE", ROUND(F131-SUMIFS(ACOAETME2021[[#All],[TOTAL Non-Truncated Unadjusted Claims Expenses]], ACOAETME2021[[#All],[Insurance Category Code]],4, ACOAETME2021[[#All],[ACO/AE or Insurer Overall Organization ID]],B131),2))</f>
        <v>TRUE</v>
      </c>
      <c r="L131" s="6" t="str">
        <f>IF(G131=ROUND(SUMIFS(ACOAETME2021[[#All],[TOTAL Truncated Unadjusted Claims Expenses (A19 - A17)]], ACOAETME2021[[#All],[Insurance Category Code]],4, ACOAETME2021[[#All],[ACO/AE or Insurer Overall Organization ID]],B131),2), "TRUE", ROUND(G131-SUMIFS(ACOAETME2021[[#All],[TOTAL Truncated Unadjusted Claims Expenses (A19 - A17)]], ACOAETME2021[[#All],[Insurance Category Code]],4, ACOAETME2021[[#All],[ACO/AE or Insurer Overall Organization ID]],B131),2))</f>
        <v>TRUE</v>
      </c>
      <c r="M131" s="6" t="str">
        <f t="shared" ref="M131" si="28">IF(E131=0, "TRUE",IF((C131/12)&gt;E131,"TRUE",(C131/12)-E131))</f>
        <v>TRUE</v>
      </c>
      <c r="N131" s="6" t="b">
        <f>ROUND(SUMIFS(ACOAETME2021[[#All],[TOTAL Non-Truncated Unadjusted Claims Expenses]], ACOAETME2021[[#All],[Insurance Category Code]],4, ACOAETME2021[[#All],[ACO/AE or Insurer Overall Organization ID]],B131), 2)&gt;=ROUND(SUMIFS(ACOAETME2021[[#All],[TOTAL Truncated Unadjusted Claims Expenses (A19 - A17)]], ACOAETME2021[[#All],[Insurance Category Code]],4, ACOAETME2021[[#All],[ACO/AE or Insurer Overall Organization ID]],B131),2)</f>
        <v>1</v>
      </c>
      <c r="O131" s="6" t="b">
        <f>ROUND(SUMIFS(ACOAETME2021[[#All],[TOTAL Truncated Unadjusted Claims Expenses (A19 - A17)]], ACOAETME2021[[#All],[Insurance Category Code]],4, ACOAETME2021[[#All],[ACO/AE or Insurer Overall Organization ID]],B131)+SUMIFS(ACOAETME2021[[#All],[Total Claims Excluded because of Truncation]], ACOAETME2021[[#All],[Insurance Category Code]],4, ACOAETME2021[[#All],[ACO/AE or Insurer Overall Organization ID]],B131),2)=ROUND(SUMIFS(ACOAETME2021[[#All],[TOTAL Non-Truncated Unadjusted Claims Expenses]], ACOAETME2021[[#All],[Insurance Category Code]],4, ACOAETME2021[[#All],[ACO/AE or Insurer Overall Organization ID]],B131), 2)</f>
        <v>1</v>
      </c>
      <c r="Q131" s="7">
        <v>999</v>
      </c>
      <c r="R131" s="194">
        <f>ROUND(SUMIFS(AgeSex22[[#All],[Total Member Months by Age/Sex Band]], AgeSex22[[#All],[ACO/AE ID or Insurer Overall]], $B131, AgeSex22[[#All], [Insurance Category Code]],4), 2)</f>
        <v>0</v>
      </c>
      <c r="S131" s="452">
        <f>ROUND(SUMIFS(AgeSex22[[#All],[Total Dollars Excluded from Spending After Applying Truncation at the Member Level]], AgeSex22[[#All],[ACO/AE ID or Insurer Overall]], $B131, AgeSex22[[#All], [Insurance Category Code]],4), 2)</f>
        <v>0</v>
      </c>
      <c r="T131" s="6">
        <f>ROUND(SUMIFS(AgeSex22[[#All],[Count of Members Whose Spending was Truncated]], AgeSex22[[#All],[ACO/AE ID or Insurer Overall]], $B131, AgeSex22[[#All], [Insurance Category Code]],4), 2)</f>
        <v>0</v>
      </c>
      <c r="U131" s="452">
        <f>ROUND(SUMIFS(AgeSex22[[#All],[Total Spending before Truncation is Applied]], AgeSex22[[#All],[ACO/AE ID or Insurer Overall]], $B131, AgeSex22[[#All], [Insurance Category Code]],4), 2)</f>
        <v>0</v>
      </c>
      <c r="V131" s="452">
        <f>ROUND(SUMIFS(AgeSex22[[#All],[Total Spending After Applying Truncation at the Member Level]], AgeSex22[[#All],[ACO/AE ID or Insurer Overall]], $B131, AgeSex22[[#All], [Insurance Category Code]],4), 2)</f>
        <v>0</v>
      </c>
      <c r="W131" s="457" t="str">
        <f>IF(R131=ROUND(SUMIFS(ACOAETME2022[[#All],[Member Months]], ACOAETME2022[[#All],[Insurance Category Code]],4, ACOAETME2022[[#All],[ACO/AE or Insurer Overall Organization ID]],Q131),2), "TRUE", ROUND(R131-SUMIFS(ACOAETME2022[[#All],[Member Months]], ACOAETME2022[[#All],[Insurance Category Code]],4, ACOAETME2022[[#All],[ACO/AE or Insurer Overall Organization ID]],Q131),2))</f>
        <v>TRUE</v>
      </c>
      <c r="X131" s="6" t="str">
        <f>IF(S131=ROUND(SUMIFS(ACOAETME2022[[#All],[Total Claims Excluded because of Truncation]], ACOAETME2022[[#All],[Insurance Category Code]],4, ACOAETME2022[[#All],[ACO/AE or Insurer Overall Organization ID]],Q131),2), "TRUE", ROUND(S131-SUMIFS(ACOAETME2022[[#All],[Total Claims Excluded because of Truncation]], ACOAETME2022[[#All],[Insurance Category Code]],4, ACOAETME2022[[#All],[ACO/AE or Insurer Overall Organization ID]],Q131),2))</f>
        <v>TRUE</v>
      </c>
      <c r="Y131" s="6" t="str">
        <f>IF(T131=ROUND(SUMIFS(ACOAETME2022[[#All],[Count of Members with Claims Truncated]], ACOAETME2022[[#All],[Insurance Category Code]],4,ACOAETME2022[[#All],[ACO/AE or Insurer Overall Organization ID]],Q131),2), "TRUE", ROUND(T131-SUMIFS(ACOAETME2022[[#All],[Count of Members with Claims Truncated]], ACOAETME2022[[#All],[Insurance Category Code]],4, ACOAETME2022[[#All],[ACO/AE or Insurer Overall Organization ID]],Q131),2))</f>
        <v>TRUE</v>
      </c>
      <c r="Z131" s="6" t="str">
        <f>IF(U131=ROUND(SUMIFS(ACOAETME2022[[#All],[TOTAL Non-Truncated Unadjusted Claims Expenses]], ACOAETME2022[[#All],[Insurance Category Code]],4, ACOAETME2022[[#All],[ACO/AE or Insurer Overall Organization ID]],Q131),2), "TRUE", ROUND(U131-SUMIFS(ACOAETME2022[[#All],[TOTAL Non-Truncated Unadjusted Claims Expenses]], ACOAETME2022[[#All],[Insurance Category Code]],4, ACOAETME2022[[#All],[ACO/AE or Insurer Overall Organization ID]],Q131),2))</f>
        <v>TRUE</v>
      </c>
      <c r="AA131" s="6" t="str">
        <f>IF(V131=ROUND(SUMIFS(ACOAETME2022[[#All],[TOTAL Truncated Unadjusted Claims Expenses (A19 - A17)]], ACOAETME2022[[#All],[Insurance Category Code]],4, ACOAETME2022[[#All],[ACO/AE or Insurer Overall Organization ID]],Q131),2), "TRUE", ROUND(V131-SUMIFS(ACOAETME2022[[#All],[TOTAL Truncated Unadjusted Claims Expenses (A19 - A17)]], ACOAETME2022[[#All],[Insurance Category Code]],4, ACOAETME2022[[#All],[ACO/AE or Insurer Overall Organization ID]],Q131),2))</f>
        <v>TRUE</v>
      </c>
      <c r="AB131" s="6" t="str">
        <f t="shared" si="25"/>
        <v>TRUE</v>
      </c>
      <c r="AC131" s="6" t="b">
        <f>ROUND(SUMIFS(ACOAETME2022[[#All],[TOTAL Non-Truncated Unadjusted Claims Expenses]], ACOAETME2022[[#All],[Insurance Category Code]],4, ACOAETME2022[[#All],[ACO/AE or Insurer Overall Organization ID]],Q131), 2)&gt;=ROUND(SUMIFS(ACOAETME2022[[#All],[TOTAL Truncated Unadjusted Claims Expenses (A19 - A17)]], ACOAETME2022[[#All],[Insurance Category Code]],4, ACOAETME2022[[#All],[ACO/AE or Insurer Overall Organization ID]],Q131),2)</f>
        <v>1</v>
      </c>
      <c r="AD131" s="6" t="b">
        <f>ROUND(SUMIFS(ACOAETME2022[[#All],[TOTAL Truncated Unadjusted Claims Expenses (A19 - A17)]], ACOAETME2022[[#All],[Insurance Category Code]],4, ACOAETME2022[[#All],[ACO/AE or Insurer Overall Organization ID]],Q131)+SUMIFS(ACOAETME2022[[#All],[Total Claims Excluded because of Truncation]], ACOAETME2022[[#All],[Insurance Category Code]],4, ACOAETME2022[[#All],[ACO/AE or Insurer Overall Organization ID]],Q131),2)=ROUND(SUMIFS(ACOAETME2022[[#All],[TOTAL Non-Truncated Unadjusted Claims Expenses]], ACOAETME2022[[#All],[Insurance Category Code]],4, ACOAETME2022[[#All],[ACO/AE or Insurer Overall Organization ID]],Q131), 2)</f>
        <v>1</v>
      </c>
      <c r="AG131" s="454" t="str">
        <f t="shared" si="26"/>
        <v>NA</v>
      </c>
    </row>
    <row r="132" spans="2:33" x14ac:dyDescent="0.35">
      <c r="B132" s="15"/>
      <c r="C132" s="12"/>
    </row>
    <row r="133" spans="2:33" ht="15" thickBot="1" x14ac:dyDescent="0.4">
      <c r="B133" s="15"/>
      <c r="C133" s="12"/>
    </row>
    <row r="134" spans="2:33" ht="24" thickBot="1" x14ac:dyDescent="0.6">
      <c r="B134" s="433" t="s">
        <v>710</v>
      </c>
      <c r="C134" s="594" t="s">
        <v>696</v>
      </c>
      <c r="D134" s="595"/>
      <c r="E134" s="595"/>
      <c r="F134" s="595"/>
      <c r="G134" s="596"/>
      <c r="H134" s="597" t="s">
        <v>697</v>
      </c>
      <c r="I134" s="598"/>
      <c r="J134" s="598"/>
      <c r="K134" s="598"/>
      <c r="L134" s="599"/>
      <c r="M134" s="591" t="s">
        <v>698</v>
      </c>
      <c r="N134" s="592"/>
      <c r="O134" s="593"/>
      <c r="R134" s="594" t="s">
        <v>711</v>
      </c>
      <c r="S134" s="595"/>
      <c r="T134" s="595"/>
      <c r="U134" s="595"/>
      <c r="V134" s="596"/>
      <c r="W134" s="597" t="s">
        <v>712</v>
      </c>
      <c r="X134" s="598"/>
      <c r="Y134" s="598"/>
      <c r="Z134" s="598"/>
      <c r="AA134" s="599"/>
      <c r="AB134" s="591" t="s">
        <v>698</v>
      </c>
      <c r="AC134" s="592"/>
      <c r="AD134" s="593"/>
    </row>
    <row r="135" spans="2:33" ht="87" x14ac:dyDescent="0.35">
      <c r="B135" s="434" t="s">
        <v>695</v>
      </c>
      <c r="C135" s="432" t="s">
        <v>228</v>
      </c>
      <c r="D135" s="424" t="s">
        <v>195</v>
      </c>
      <c r="E135" s="424" t="s">
        <v>699</v>
      </c>
      <c r="F135" s="424" t="s">
        <v>244</v>
      </c>
      <c r="G135" s="425" t="s">
        <v>194</v>
      </c>
      <c r="H135" s="426" t="s">
        <v>87</v>
      </c>
      <c r="I135" s="427" t="s">
        <v>700</v>
      </c>
      <c r="J135" s="427" t="s">
        <v>701</v>
      </c>
      <c r="K135" s="427" t="s">
        <v>702</v>
      </c>
      <c r="L135" s="428" t="s">
        <v>703</v>
      </c>
      <c r="M135" s="429" t="s">
        <v>704</v>
      </c>
      <c r="N135" s="430" t="s">
        <v>705</v>
      </c>
      <c r="O135" s="431" t="s">
        <v>706</v>
      </c>
      <c r="Q135" s="434" t="s">
        <v>695</v>
      </c>
      <c r="R135" s="432" t="s">
        <v>228</v>
      </c>
      <c r="S135" s="424" t="s">
        <v>195</v>
      </c>
      <c r="T135" s="424" t="s">
        <v>699</v>
      </c>
      <c r="U135" s="424" t="s">
        <v>244</v>
      </c>
      <c r="V135" s="425" t="s">
        <v>194</v>
      </c>
      <c r="W135" s="426" t="s">
        <v>87</v>
      </c>
      <c r="X135" s="427" t="s">
        <v>700</v>
      </c>
      <c r="Y135" s="427" t="s">
        <v>701</v>
      </c>
      <c r="Z135" s="427" t="s">
        <v>702</v>
      </c>
      <c r="AA135" s="428" t="s">
        <v>703</v>
      </c>
      <c r="AB135" s="429" t="s">
        <v>704</v>
      </c>
      <c r="AC135" s="430" t="s">
        <v>705</v>
      </c>
      <c r="AD135" s="431" t="s">
        <v>706</v>
      </c>
      <c r="AG135" s="484" t="s">
        <v>753</v>
      </c>
    </row>
    <row r="136" spans="2:33" x14ac:dyDescent="0.35">
      <c r="B136" s="115">
        <v>100</v>
      </c>
      <c r="C136" s="192">
        <f>ROUND(SUMIFS(AgeSex21[[#All],[Total Member Months by Age/Sex Band]], AgeSex21[[#All],[ACO/AE ID or Insurer Overall]], $B136, AgeSex21[[#All], [Insurance Category Code]],5), 2)</f>
        <v>0</v>
      </c>
      <c r="D136" s="452">
        <f>ROUND(SUMIFS(AgeSex21[[#All],[Total Dollars Excluded from Spending After Applying Truncation at the Member Level]], AgeSex21[[#All],[ACO/AE ID or Insurer Overall]], $B136, AgeSex21[[#All], [Insurance Category Code]],5), 2)</f>
        <v>0</v>
      </c>
      <c r="E136" s="6">
        <f>ROUND(SUMIFS(AgeSex21[[#All],[Count of Members Whose Spending was Truncated]], AgeSex21[[#All],[ACO/AE ID or Insurer Overall]], $B136, AgeSex21[[#All], [Insurance Category Code]],5), 2)</f>
        <v>0</v>
      </c>
      <c r="F136" s="452">
        <f>ROUND(SUMIFS(AgeSex21[[#All],[Total Spending before Truncation is Applied]], AgeSex21[[#All],[ACO/AE ID or Insurer Overall]], $B136, AgeSex21[[#All], [Insurance Category Code]],5), 2)</f>
        <v>0</v>
      </c>
      <c r="G136" s="452">
        <f>ROUND(SUMIFS(AgeSex21[[#All],[Total Spending After Applying Truncation at the Member Level]], AgeSex21[[#All],[ACO/AE ID or Insurer Overall]], $B136, AgeSex21[[#All], [Insurance Category Code]],5), 2)</f>
        <v>0</v>
      </c>
      <c r="H136" s="457" t="str">
        <f>IF(C136=ROUND(SUMIFS(ACOAETME2021[[#All],[Member Months]], ACOAETME2021[[#All],[Insurance Category Code]],5, ACOAETME2021[[#All],[ACO/AE or Insurer Overall Organization ID]],B136),2), "TRUE", ROUND(C136-SUMIFS(ACOAETME2021[[#All],[Member Months]], ACOAETME2021[[#All],[Insurance Category Code]],5, ACOAETME2021[[#All],[ACO/AE or Insurer Overall Organization ID]],B136),2))</f>
        <v>TRUE</v>
      </c>
      <c r="I136" s="6" t="str">
        <f>IF(D136=ROUND(SUMIFS(ACOAETME2021[[#All],[Total Claims Excluded because of Truncation]], ACOAETME2021[[#All],[Insurance Category Code]],5, ACOAETME2021[[#All],[ACO/AE or Insurer Overall Organization ID]],B136),2), "TRUE", ROUND(D136-SUMIFS(ACOAETME2021[[#All],[Total Claims Excluded because of Truncation]], ACOAETME2021[[#All],[Insurance Category Code]],5, ACOAETME2021[[#All],[ACO/AE or Insurer Overall Organization ID]],B136),2))</f>
        <v>TRUE</v>
      </c>
      <c r="J136" s="6" t="str">
        <f>IF(E136=ROUND(SUMIFS(ACOAETME2021[[#All],[Count of Members with Claims Truncated]], ACOAETME2021[[#All],[Insurance Category Code]],5,ACOAETME2021[[#All],[ACO/AE or Insurer Overall Organization ID]],B136),2), "TRUE", ROUND(E136-SUMIFS(ACOAETME2021[[#All],[Count of Members with Claims Truncated]], ACOAETME2021[[#All],[Insurance Category Code]],5, ACOAETME2021[[#All],[ACO/AE or Insurer Overall Organization ID]],B136),2))</f>
        <v>TRUE</v>
      </c>
      <c r="K136" s="6" t="str">
        <f>IF(F136=ROUND(SUMIFS(ACOAETME2021[[#All],[TOTAL Non-Truncated Unadjusted Claims Expenses]], ACOAETME2021[[#All],[Insurance Category Code]],5, ACOAETME2021[[#All],[ACO/AE or Insurer Overall Organization ID]],B136),2), "TRUE", ROUND(F136-SUMIFS(ACOAETME2021[[#All],[TOTAL Non-Truncated Unadjusted Claims Expenses]], ACOAETME2021[[#All],[Insurance Category Code]],5, ACOAETME2021[[#All],[ACO/AE or Insurer Overall Organization ID]],B136),2))</f>
        <v>TRUE</v>
      </c>
      <c r="L136" s="6" t="str">
        <f>IF(G136=ROUND(SUMIFS(ACOAETME2021[[#All],[TOTAL Truncated Unadjusted Claims Expenses (A19 - A17)]], ACOAETME2021[[#All],[Insurance Category Code]],5, ACOAETME2021[[#All],[ACO/AE or Insurer Overall Organization ID]],B136),2), "TRUE", ROUND(G136-SUMIFS(ACOAETME2021[[#All],[TOTAL Truncated Unadjusted Claims Expenses (A19 - A17)]], ACOAETME2021[[#All],[Insurance Category Code]],5, ACOAETME2021[[#All],[ACO/AE or Insurer Overall Organization ID]],B136),2))</f>
        <v>TRUE</v>
      </c>
      <c r="M136" s="6" t="str">
        <f t="shared" ref="M136" si="29">IF(E136=0, "TRUE",IF((C136/12)&gt;E136,"TRUE",(C136/12)-E136))</f>
        <v>TRUE</v>
      </c>
      <c r="N136" s="6" t="b">
        <f>ROUND(SUMIFS(ACOAETME2021[[#All],[TOTAL Non-Truncated Unadjusted Claims Expenses]], ACOAETME2021[[#All],[Insurance Category Code]],5, ACOAETME2021[[#All],[ACO/AE or Insurer Overall Organization ID]],B136), 2)&gt;=ROUND(SUMIFS(ACOAETME2021[[#All],[TOTAL Truncated Unadjusted Claims Expenses (A19 - A17)]], ACOAETME2021[[#All],[Insurance Category Code]],5, ACOAETME2021[[#All],[ACO/AE or Insurer Overall Organization ID]],B136),2)</f>
        <v>1</v>
      </c>
      <c r="O136" s="6" t="b">
        <f>ROUND(SUMIFS(ACOAETME2021[[#All],[TOTAL Truncated Unadjusted Claims Expenses (A19 - A17)]], ACOAETME2021[[#All],[Insurance Category Code]],5, ACOAETME2021[[#All],[ACO/AE or Insurer Overall Organization ID]],B136)+SUMIFS(ACOAETME2021[[#All],[Total Claims Excluded because of Truncation]], ACOAETME2021[[#All],[Insurance Category Code]],5, ACOAETME2021[[#All],[ACO/AE or Insurer Overall Organization ID]],B136),2)=ROUND(SUMIFS(ACOAETME2021[[#All],[TOTAL Non-Truncated Unadjusted Claims Expenses]], ACOAETME2021[[#All],[Insurance Category Code]],5, ACOAETME2021[[#All],[ACO/AE or Insurer Overall Organization ID]],B136), 2)</f>
        <v>1</v>
      </c>
      <c r="Q136" s="115">
        <v>100</v>
      </c>
      <c r="R136" s="192">
        <f>ROUND(SUMIFS(AgeSex22[[#All],[Total Member Months by Age/Sex Band]], AgeSex22[[#All],[ACO/AE ID or Insurer Overall]], $B136, AgeSex22[[#All], [Insurance Category Code]],5), 2)</f>
        <v>0</v>
      </c>
      <c r="S136" s="452">
        <f>ROUND(SUMIFS(AgeSex22[[#All],[Total Dollars Excluded from Spending After Applying Truncation at the Member Level]], AgeSex22[[#All],[ACO/AE ID or Insurer Overall]], $B136, AgeSex22[[#All], [Insurance Category Code]],5), 2)</f>
        <v>0</v>
      </c>
      <c r="T136" s="6">
        <f>ROUND(SUMIFS(AgeSex22[[#All],[Count of Members Whose Spending was Truncated]], AgeSex22[[#All],[ACO/AE ID or Insurer Overall]], $B136, AgeSex22[[#All], [Insurance Category Code]],5), 2)</f>
        <v>0</v>
      </c>
      <c r="U136" s="452">
        <f>ROUND(SUMIFS(AgeSex22[[#All],[Total Spending before Truncation is Applied]], AgeSex22[[#All],[ACO/AE ID or Insurer Overall]], $B136, AgeSex22[[#All], [Insurance Category Code]],5), 2)</f>
        <v>0</v>
      </c>
      <c r="V136" s="452">
        <f>ROUND(SUMIFS(AgeSex22[[#All],[Total Spending After Applying Truncation at the Member Level]], AgeSex22[[#All],[ACO/AE ID or Insurer Overall]], $B136, AgeSex22[[#All], [Insurance Category Code]],5), 2)</f>
        <v>0</v>
      </c>
      <c r="W136" s="457" t="str">
        <f>IF(R136=ROUND(SUMIFS(ACOAETME2022[[#All],[Member Months]], ACOAETME2022[[#All],[Insurance Category Code]],5, ACOAETME2022[[#All],[ACO/AE or Insurer Overall Organization ID]],Q136),2), "TRUE", ROUND(R136-SUMIFS(ACOAETME2022[[#All],[Member Months]], ACOAETME2022[[#All],[Insurance Category Code]],5, ACOAETME2022[[#All],[ACO/AE or Insurer Overall Organization ID]],Q136),2))</f>
        <v>TRUE</v>
      </c>
      <c r="X136" s="6" t="str">
        <f>IF(S136=ROUND(SUMIFS(ACOAETME2022[[#All],[Total Claims Excluded because of Truncation]], ACOAETME2022[[#All],[Insurance Category Code]],5, ACOAETME2022[[#All],[ACO/AE or Insurer Overall Organization ID]],Q136),2), "TRUE", ROUND(S136-SUMIFS(ACOAETME2022[[#All],[Total Claims Excluded because of Truncation]], ACOAETME2022[[#All],[Insurance Category Code]],5, ACOAETME2022[[#All],[ACO/AE or Insurer Overall Organization ID]],Q136),2))</f>
        <v>TRUE</v>
      </c>
      <c r="Y136" s="6" t="str">
        <f>IF(T136=ROUND(SUMIFS(ACOAETME2022[[#All],[Count of Members with Claims Truncated]], ACOAETME2022[[#All],[Insurance Category Code]],5,ACOAETME2022[[#All],[ACO/AE or Insurer Overall Organization ID]],Q136),2), "TRUE", ROUND(T136-SUMIFS(ACOAETME2022[[#All],[Count of Members with Claims Truncated]], ACOAETME2022[[#All],[Insurance Category Code]],5, ACOAETME2022[[#All],[ACO/AE or Insurer Overall Organization ID]],Q136),2))</f>
        <v>TRUE</v>
      </c>
      <c r="Z136" s="6" t="str">
        <f>IF(U136=ROUND(SUMIFS(ACOAETME2022[[#All],[TOTAL Non-Truncated Unadjusted Claims Expenses]], ACOAETME2022[[#All],[Insurance Category Code]],5, ACOAETME2022[[#All],[ACO/AE or Insurer Overall Organization ID]],Q136),2), "TRUE", ROUND(U136-SUMIFS(ACOAETME2022[[#All],[TOTAL Non-Truncated Unadjusted Claims Expenses]], ACOAETME2022[[#All],[Insurance Category Code]],5, ACOAETME2022[[#All],[ACO/AE or Insurer Overall Organization ID]],Q136),2))</f>
        <v>TRUE</v>
      </c>
      <c r="AA136" s="6" t="str">
        <f>IF(V136=ROUND(SUMIFS(ACOAETME2022[[#All],[TOTAL Truncated Unadjusted Claims Expenses (A19 - A17)]], ACOAETME2022[[#All],[Insurance Category Code]],5, ACOAETME2022[[#All],[ACO/AE or Insurer Overall Organization ID]],Q136),2), "TRUE", ROUND(V136-SUMIFS(ACOAETME2022[[#All],[TOTAL Truncated Unadjusted Claims Expenses (A19 - A17)]], ACOAETME2022[[#All],[Insurance Category Code]],5, ACOAETME2022[[#All],[ACO/AE or Insurer Overall Organization ID]],Q136),2))</f>
        <v>TRUE</v>
      </c>
      <c r="AB136" s="6" t="str">
        <f t="shared" ref="AB136:AB145" si="30">IF(T136=0, "TRUE",IF((R136/12)&gt;T136,"TRUE",(R136/12)-T136))</f>
        <v>TRUE</v>
      </c>
      <c r="AC136" s="6" t="b">
        <f>ROUND(SUMIFS(ACOAETME2022[[#All],[TOTAL Non-Truncated Unadjusted Claims Expenses]], ACOAETME2022[[#All],[Insurance Category Code]],5, ACOAETME2022[[#All],[ACO/AE or Insurer Overall Organization ID]],Q136), 2)&gt;=ROUND(SUMIFS(ACOAETME2022[[#All],[TOTAL Truncated Unadjusted Claims Expenses (A19 - A17)]], ACOAETME2022[[#All],[Insurance Category Code]],5, ACOAETME2022[[#All],[ACO/AE or Insurer Overall Organization ID]],Q136),2)</f>
        <v>1</v>
      </c>
      <c r="AD136" s="6" t="b">
        <f>ROUND(SUMIFS(ACOAETME2022[[#All],[TOTAL Truncated Unadjusted Claims Expenses (A19 - A17)]], ACOAETME2022[[#All],[Insurance Category Code]],5, ACOAETME2022[[#All],[ACO/AE or Insurer Overall Organization ID]],Q136)+SUMIFS(ACOAETME2022[[#All],[Total Claims Excluded because of Truncation]], ACOAETME2022[[#All],[Insurance Category Code]],5, ACOAETME2022[[#All],[ACO/AE or Insurer Overall Organization ID]],Q136),2)=ROUND(SUMIFS(ACOAETME2022[[#All],[TOTAL Non-Truncated Unadjusted Claims Expenses]], ACOAETME2022[[#All],[Insurance Category Code]],5, ACOAETME2022[[#All],[ACO/AE or Insurer Overall Organization ID]],Q136), 2)</f>
        <v>1</v>
      </c>
      <c r="AG136" s="454" t="str">
        <f t="shared" ref="AG136:AG145" si="31">IFERROR(R136/C136-1, "NA")</f>
        <v>NA</v>
      </c>
    </row>
    <row r="137" spans="2:33" x14ac:dyDescent="0.35">
      <c r="B137" s="115">
        <v>101</v>
      </c>
      <c r="C137" s="192">
        <f>ROUND(SUMIFS(AgeSex21[[#All],[Total Member Months by Age/Sex Band]], AgeSex21[[#All],[ACO/AE ID or Insurer Overall]], $B137, AgeSex21[[#All], [Insurance Category Code]],5), 2)</f>
        <v>0</v>
      </c>
      <c r="D137" s="452">
        <f>ROUND(SUMIFS(AgeSex21[[#All],[Total Dollars Excluded from Spending After Applying Truncation at the Member Level]], AgeSex21[[#All],[ACO/AE ID or Insurer Overall]], $B137, AgeSex21[[#All], [Insurance Category Code]],5), 2)</f>
        <v>0</v>
      </c>
      <c r="E137" s="6">
        <f>ROUND(SUMIFS(AgeSex21[[#All],[Count of Members Whose Spending was Truncated]], AgeSex21[[#All],[ACO/AE ID or Insurer Overall]], $B137, AgeSex21[[#All], [Insurance Category Code]],5), 2)</f>
        <v>0</v>
      </c>
      <c r="F137" s="452">
        <f>ROUND(SUMIFS(AgeSex21[[#All],[Total Spending before Truncation is Applied]], AgeSex21[[#All],[ACO/AE ID or Insurer Overall]], $B137, AgeSex21[[#All], [Insurance Category Code]],5), 2)</f>
        <v>0</v>
      </c>
      <c r="G137" s="452">
        <f>ROUND(SUMIFS(AgeSex21[[#All],[Total Spending After Applying Truncation at the Member Level]], AgeSex21[[#All],[ACO/AE ID or Insurer Overall]], $B137, AgeSex21[[#All], [Insurance Category Code]],5), 2)</f>
        <v>0</v>
      </c>
      <c r="H137" s="457" t="str">
        <f>IF(C137=ROUND(SUMIFS(ACOAETME2021[[#All],[Member Months]], ACOAETME2021[[#All],[Insurance Category Code]],5, ACOAETME2021[[#All],[ACO/AE or Insurer Overall Organization ID]],B137),2), "TRUE", ROUND(C137-SUMIFS(ACOAETME2021[[#All],[Member Months]], ACOAETME2021[[#All],[Insurance Category Code]],5, ACOAETME2021[[#All],[ACO/AE or Insurer Overall Organization ID]],B137),2))</f>
        <v>TRUE</v>
      </c>
      <c r="I137" s="6" t="str">
        <f>IF(D137=ROUND(SUMIFS(ACOAETME2021[[#All],[Total Claims Excluded because of Truncation]], ACOAETME2021[[#All],[Insurance Category Code]],5, ACOAETME2021[[#All],[ACO/AE or Insurer Overall Organization ID]],B137),2), "TRUE", ROUND(D137-SUMIFS(ACOAETME2021[[#All],[Total Claims Excluded because of Truncation]], ACOAETME2021[[#All],[Insurance Category Code]],5, ACOAETME2021[[#All],[ACO/AE or Insurer Overall Organization ID]],B137),2))</f>
        <v>TRUE</v>
      </c>
      <c r="J137" s="6" t="str">
        <f>IF(E137=ROUND(SUMIFS(ACOAETME2021[[#All],[Count of Members with Claims Truncated]], ACOAETME2021[[#All],[Insurance Category Code]],5,ACOAETME2021[[#All],[ACO/AE or Insurer Overall Organization ID]],B137),2), "TRUE", ROUND(E137-SUMIFS(ACOAETME2021[[#All],[Count of Members with Claims Truncated]], ACOAETME2021[[#All],[Insurance Category Code]],5, ACOAETME2021[[#All],[ACO/AE or Insurer Overall Organization ID]],B137),2))</f>
        <v>TRUE</v>
      </c>
      <c r="K137" s="6" t="str">
        <f>IF(F137=ROUND(SUMIFS(ACOAETME2021[[#All],[TOTAL Non-Truncated Unadjusted Claims Expenses]], ACOAETME2021[[#All],[Insurance Category Code]],5, ACOAETME2021[[#All],[ACO/AE or Insurer Overall Organization ID]],B137),2), "TRUE", ROUND(F137-SUMIFS(ACOAETME2021[[#All],[TOTAL Non-Truncated Unadjusted Claims Expenses]], ACOAETME2021[[#All],[Insurance Category Code]],5, ACOAETME2021[[#All],[ACO/AE or Insurer Overall Organization ID]],B137),2))</f>
        <v>TRUE</v>
      </c>
      <c r="L137" s="6" t="str">
        <f>IF(G137=ROUND(SUMIFS(ACOAETME2021[[#All],[TOTAL Truncated Unadjusted Claims Expenses (A19 - A17)]], ACOAETME2021[[#All],[Insurance Category Code]],5, ACOAETME2021[[#All],[ACO/AE or Insurer Overall Organization ID]],B137),2), "TRUE", ROUND(G137-SUMIFS(ACOAETME2021[[#All],[TOTAL Truncated Unadjusted Claims Expenses (A19 - A17)]], ACOAETME2021[[#All],[Insurance Category Code]],5, ACOAETME2021[[#All],[ACO/AE or Insurer Overall Organization ID]],B137),2))</f>
        <v>TRUE</v>
      </c>
      <c r="M137" s="6" t="str">
        <f t="shared" ref="M137:M144" si="32">IF(E137=0, "TRUE",IF((C137/12)&gt;E137,"TRUE",(C137/12)-E137))</f>
        <v>TRUE</v>
      </c>
      <c r="N137" s="6" t="b">
        <f>ROUND(SUMIFS(ACOAETME2021[[#All],[TOTAL Non-Truncated Unadjusted Claims Expenses]], ACOAETME2021[[#All],[Insurance Category Code]],5, ACOAETME2021[[#All],[ACO/AE or Insurer Overall Organization ID]],B137), 2)&gt;=ROUND(SUMIFS(ACOAETME2021[[#All],[TOTAL Truncated Unadjusted Claims Expenses (A19 - A17)]], ACOAETME2021[[#All],[Insurance Category Code]],5, ACOAETME2021[[#All],[ACO/AE or Insurer Overall Organization ID]],B137),2)</f>
        <v>1</v>
      </c>
      <c r="O137" s="6" t="b">
        <f>ROUND(SUMIFS(ACOAETME2021[[#All],[TOTAL Truncated Unadjusted Claims Expenses (A19 - A17)]], ACOAETME2021[[#All],[Insurance Category Code]],5, ACOAETME2021[[#All],[ACO/AE or Insurer Overall Organization ID]],B137)+SUMIFS(ACOAETME2021[[#All],[Total Claims Excluded because of Truncation]], ACOAETME2021[[#All],[Insurance Category Code]],5, ACOAETME2021[[#All],[ACO/AE or Insurer Overall Organization ID]],B137),2)=ROUND(SUMIFS(ACOAETME2021[[#All],[TOTAL Non-Truncated Unadjusted Claims Expenses]], ACOAETME2021[[#All],[Insurance Category Code]],5, ACOAETME2021[[#All],[ACO/AE or Insurer Overall Organization ID]],B137), 2)</f>
        <v>1</v>
      </c>
      <c r="Q137" s="115">
        <v>101</v>
      </c>
      <c r="R137" s="192">
        <f>ROUND(SUMIFS(AgeSex22[[#All],[Total Member Months by Age/Sex Band]], AgeSex22[[#All],[ACO/AE ID or Insurer Overall]], $B137, AgeSex22[[#All], [Insurance Category Code]],5), 2)</f>
        <v>0</v>
      </c>
      <c r="S137" s="452">
        <f>ROUND(SUMIFS(AgeSex22[[#All],[Total Dollars Excluded from Spending After Applying Truncation at the Member Level]], AgeSex22[[#All],[ACO/AE ID or Insurer Overall]], $B137, AgeSex22[[#All], [Insurance Category Code]],5), 2)</f>
        <v>0</v>
      </c>
      <c r="T137" s="6">
        <f>ROUND(SUMIFS(AgeSex22[[#All],[Count of Members Whose Spending was Truncated]], AgeSex22[[#All],[ACO/AE ID or Insurer Overall]], $B137, AgeSex22[[#All], [Insurance Category Code]],5), 2)</f>
        <v>0</v>
      </c>
      <c r="U137" s="452">
        <f>ROUND(SUMIFS(AgeSex22[[#All],[Total Spending before Truncation is Applied]], AgeSex22[[#All],[ACO/AE ID or Insurer Overall]], $B137, AgeSex22[[#All], [Insurance Category Code]],5), 2)</f>
        <v>0</v>
      </c>
      <c r="V137" s="452">
        <f>ROUND(SUMIFS(AgeSex22[[#All],[Total Spending After Applying Truncation at the Member Level]], AgeSex22[[#All],[ACO/AE ID or Insurer Overall]], $B137, AgeSex22[[#All], [Insurance Category Code]],5), 2)</f>
        <v>0</v>
      </c>
      <c r="W137" s="457" t="str">
        <f>IF(R137=ROUND(SUMIFS(ACOAETME2022[[#All],[Member Months]], ACOAETME2022[[#All],[Insurance Category Code]],5, ACOAETME2022[[#All],[ACO/AE or Insurer Overall Organization ID]],Q137),2), "TRUE", ROUND(R137-SUMIFS(ACOAETME2022[[#All],[Member Months]], ACOAETME2022[[#All],[Insurance Category Code]],5, ACOAETME2022[[#All],[ACO/AE or Insurer Overall Organization ID]],Q137),2))</f>
        <v>TRUE</v>
      </c>
      <c r="X137" s="6" t="str">
        <f>IF(S137=ROUND(SUMIFS(ACOAETME2022[[#All],[Total Claims Excluded because of Truncation]], ACOAETME2022[[#All],[Insurance Category Code]],5, ACOAETME2022[[#All],[ACO/AE or Insurer Overall Organization ID]],Q137),2), "TRUE", ROUND(S137-SUMIFS(ACOAETME2022[[#All],[Total Claims Excluded because of Truncation]], ACOAETME2022[[#All],[Insurance Category Code]],5, ACOAETME2022[[#All],[ACO/AE or Insurer Overall Organization ID]],Q137),2))</f>
        <v>TRUE</v>
      </c>
      <c r="Y137" s="6" t="str">
        <f>IF(T137=ROUND(SUMIFS(ACOAETME2022[[#All],[Count of Members with Claims Truncated]], ACOAETME2022[[#All],[Insurance Category Code]],5,ACOAETME2022[[#All],[ACO/AE or Insurer Overall Organization ID]],Q137),2), "TRUE", ROUND(T137-SUMIFS(ACOAETME2022[[#All],[Count of Members with Claims Truncated]], ACOAETME2022[[#All],[Insurance Category Code]],5, ACOAETME2022[[#All],[ACO/AE or Insurer Overall Organization ID]],Q137),2))</f>
        <v>TRUE</v>
      </c>
      <c r="Z137" s="6" t="str">
        <f>IF(U137=ROUND(SUMIFS(ACOAETME2022[[#All],[TOTAL Non-Truncated Unadjusted Claims Expenses]], ACOAETME2022[[#All],[Insurance Category Code]],5, ACOAETME2022[[#All],[ACO/AE or Insurer Overall Organization ID]],Q137),2), "TRUE", ROUND(U137-SUMIFS(ACOAETME2022[[#All],[TOTAL Non-Truncated Unadjusted Claims Expenses]], ACOAETME2022[[#All],[Insurance Category Code]],5, ACOAETME2022[[#All],[ACO/AE or Insurer Overall Organization ID]],Q137),2))</f>
        <v>TRUE</v>
      </c>
      <c r="AA137" s="6" t="str">
        <f>IF(V137=ROUND(SUMIFS(ACOAETME2022[[#All],[TOTAL Truncated Unadjusted Claims Expenses (A19 - A17)]], ACOAETME2022[[#All],[Insurance Category Code]],5, ACOAETME2022[[#All],[ACO/AE or Insurer Overall Organization ID]],Q137),2), "TRUE", ROUND(V137-SUMIFS(ACOAETME2022[[#All],[TOTAL Truncated Unadjusted Claims Expenses (A19 - A17)]], ACOAETME2022[[#All],[Insurance Category Code]],5, ACOAETME2022[[#All],[ACO/AE or Insurer Overall Organization ID]],Q137),2))</f>
        <v>TRUE</v>
      </c>
      <c r="AB137" s="6" t="str">
        <f t="shared" si="30"/>
        <v>TRUE</v>
      </c>
      <c r="AC137" s="6" t="b">
        <f>ROUND(SUMIFS(ACOAETME2022[[#All],[TOTAL Non-Truncated Unadjusted Claims Expenses]], ACOAETME2022[[#All],[Insurance Category Code]],5, ACOAETME2022[[#All],[ACO/AE or Insurer Overall Organization ID]],Q137), 2)&gt;=ROUND(SUMIFS(ACOAETME2022[[#All],[TOTAL Truncated Unadjusted Claims Expenses (A19 - A17)]], ACOAETME2022[[#All],[Insurance Category Code]],5, ACOAETME2022[[#All],[ACO/AE or Insurer Overall Organization ID]],Q137),2)</f>
        <v>1</v>
      </c>
      <c r="AD137" s="6" t="b">
        <f>ROUND(SUMIFS(ACOAETME2022[[#All],[TOTAL Truncated Unadjusted Claims Expenses (A19 - A17)]], ACOAETME2022[[#All],[Insurance Category Code]],5, ACOAETME2022[[#All],[ACO/AE or Insurer Overall Organization ID]],Q137)+SUMIFS(ACOAETME2022[[#All],[Total Claims Excluded because of Truncation]], ACOAETME2022[[#All],[Insurance Category Code]],5, ACOAETME2022[[#All],[ACO/AE or Insurer Overall Organization ID]],Q137),2)=ROUND(SUMIFS(ACOAETME2022[[#All],[TOTAL Non-Truncated Unadjusted Claims Expenses]], ACOAETME2022[[#All],[Insurance Category Code]],5, ACOAETME2022[[#All],[ACO/AE or Insurer Overall Organization ID]],Q137), 2)</f>
        <v>1</v>
      </c>
      <c r="AG137" s="454" t="str">
        <f t="shared" si="31"/>
        <v>NA</v>
      </c>
    </row>
    <row r="138" spans="2:33" x14ac:dyDescent="0.35">
      <c r="B138" s="115">
        <v>102</v>
      </c>
      <c r="C138" s="192">
        <f>ROUND(SUMIFS(AgeSex21[[#All],[Total Member Months by Age/Sex Band]], AgeSex21[[#All],[ACO/AE ID or Insurer Overall]], $B138, AgeSex21[[#All], [Insurance Category Code]],5), 2)</f>
        <v>0</v>
      </c>
      <c r="D138" s="452">
        <f>ROUND(SUMIFS(AgeSex21[[#All],[Total Dollars Excluded from Spending After Applying Truncation at the Member Level]], AgeSex21[[#All],[ACO/AE ID or Insurer Overall]], $B138, AgeSex21[[#All], [Insurance Category Code]],5), 2)</f>
        <v>0</v>
      </c>
      <c r="E138" s="6">
        <f>ROUND(SUMIFS(AgeSex21[[#All],[Count of Members Whose Spending was Truncated]], AgeSex21[[#All],[ACO/AE ID or Insurer Overall]], $B138, AgeSex21[[#All], [Insurance Category Code]],5), 2)</f>
        <v>0</v>
      </c>
      <c r="F138" s="452">
        <f>ROUND(SUMIFS(AgeSex21[[#All],[Total Spending before Truncation is Applied]], AgeSex21[[#All],[ACO/AE ID or Insurer Overall]], $B138, AgeSex21[[#All], [Insurance Category Code]],5), 2)</f>
        <v>0</v>
      </c>
      <c r="G138" s="452">
        <f>ROUND(SUMIFS(AgeSex21[[#All],[Total Spending After Applying Truncation at the Member Level]], AgeSex21[[#All],[ACO/AE ID or Insurer Overall]], $B138, AgeSex21[[#All], [Insurance Category Code]],5), 2)</f>
        <v>0</v>
      </c>
      <c r="H138" s="457" t="str">
        <f>IF(C138=ROUND(SUMIFS(ACOAETME2021[[#All],[Member Months]], ACOAETME2021[[#All],[Insurance Category Code]],5, ACOAETME2021[[#All],[ACO/AE or Insurer Overall Organization ID]],B138),2), "TRUE", ROUND(C138-SUMIFS(ACOAETME2021[[#All],[Member Months]], ACOAETME2021[[#All],[Insurance Category Code]],5, ACOAETME2021[[#All],[ACO/AE or Insurer Overall Organization ID]],B138),2))</f>
        <v>TRUE</v>
      </c>
      <c r="I138" s="6" t="str">
        <f>IF(D138=ROUND(SUMIFS(ACOAETME2021[[#All],[Total Claims Excluded because of Truncation]], ACOAETME2021[[#All],[Insurance Category Code]],5, ACOAETME2021[[#All],[ACO/AE or Insurer Overall Organization ID]],B138),2), "TRUE", ROUND(D138-SUMIFS(ACOAETME2021[[#All],[Total Claims Excluded because of Truncation]], ACOAETME2021[[#All],[Insurance Category Code]],5, ACOAETME2021[[#All],[ACO/AE or Insurer Overall Organization ID]],B138),2))</f>
        <v>TRUE</v>
      </c>
      <c r="J138" s="6" t="str">
        <f>IF(E138=ROUND(SUMIFS(ACOAETME2021[[#All],[Count of Members with Claims Truncated]], ACOAETME2021[[#All],[Insurance Category Code]],5,ACOAETME2021[[#All],[ACO/AE or Insurer Overall Organization ID]],B138),2), "TRUE", ROUND(E138-SUMIFS(ACOAETME2021[[#All],[Count of Members with Claims Truncated]], ACOAETME2021[[#All],[Insurance Category Code]],5, ACOAETME2021[[#All],[ACO/AE or Insurer Overall Organization ID]],B138),2))</f>
        <v>TRUE</v>
      </c>
      <c r="K138" s="6" t="str">
        <f>IF(F138=ROUND(SUMIFS(ACOAETME2021[[#All],[TOTAL Non-Truncated Unadjusted Claims Expenses]], ACOAETME2021[[#All],[Insurance Category Code]],5, ACOAETME2021[[#All],[ACO/AE or Insurer Overall Organization ID]],B138),2), "TRUE", ROUND(F138-SUMIFS(ACOAETME2021[[#All],[TOTAL Non-Truncated Unadjusted Claims Expenses]], ACOAETME2021[[#All],[Insurance Category Code]],5, ACOAETME2021[[#All],[ACO/AE or Insurer Overall Organization ID]],B138),2))</f>
        <v>TRUE</v>
      </c>
      <c r="L138" s="6" t="str">
        <f>IF(G138=ROUND(SUMIFS(ACOAETME2021[[#All],[TOTAL Truncated Unadjusted Claims Expenses (A19 - A17)]], ACOAETME2021[[#All],[Insurance Category Code]],5, ACOAETME2021[[#All],[ACO/AE or Insurer Overall Organization ID]],B138),2), "TRUE", ROUND(G138-SUMIFS(ACOAETME2021[[#All],[TOTAL Truncated Unadjusted Claims Expenses (A19 - A17)]], ACOAETME2021[[#All],[Insurance Category Code]],5, ACOAETME2021[[#All],[ACO/AE or Insurer Overall Organization ID]],B138),2))</f>
        <v>TRUE</v>
      </c>
      <c r="M138" s="6" t="str">
        <f t="shared" si="32"/>
        <v>TRUE</v>
      </c>
      <c r="N138" s="6" t="b">
        <f>ROUND(SUMIFS(ACOAETME2021[[#All],[TOTAL Non-Truncated Unadjusted Claims Expenses]], ACOAETME2021[[#All],[Insurance Category Code]],5, ACOAETME2021[[#All],[ACO/AE or Insurer Overall Organization ID]],B138), 2)&gt;=ROUND(SUMIFS(ACOAETME2021[[#All],[TOTAL Truncated Unadjusted Claims Expenses (A19 - A17)]], ACOAETME2021[[#All],[Insurance Category Code]],5, ACOAETME2021[[#All],[ACO/AE or Insurer Overall Organization ID]],B138),2)</f>
        <v>1</v>
      </c>
      <c r="O138" s="6" t="b">
        <f>ROUND(SUMIFS(ACOAETME2021[[#All],[TOTAL Truncated Unadjusted Claims Expenses (A19 - A17)]], ACOAETME2021[[#All],[Insurance Category Code]],5, ACOAETME2021[[#All],[ACO/AE or Insurer Overall Organization ID]],B138)+SUMIFS(ACOAETME2021[[#All],[Total Claims Excluded because of Truncation]], ACOAETME2021[[#All],[Insurance Category Code]],5, ACOAETME2021[[#All],[ACO/AE or Insurer Overall Organization ID]],B138),2)=ROUND(SUMIFS(ACOAETME2021[[#All],[TOTAL Non-Truncated Unadjusted Claims Expenses]], ACOAETME2021[[#All],[Insurance Category Code]],5, ACOAETME2021[[#All],[ACO/AE or Insurer Overall Organization ID]],B138), 2)</f>
        <v>1</v>
      </c>
      <c r="Q138" s="115">
        <v>102</v>
      </c>
      <c r="R138" s="192">
        <f>ROUND(SUMIFS(AgeSex22[[#All],[Total Member Months by Age/Sex Band]], AgeSex22[[#All],[ACO/AE ID or Insurer Overall]], $B138, AgeSex22[[#All], [Insurance Category Code]],5), 2)</f>
        <v>0</v>
      </c>
      <c r="S138" s="452">
        <f>ROUND(SUMIFS(AgeSex22[[#All],[Total Dollars Excluded from Spending After Applying Truncation at the Member Level]], AgeSex22[[#All],[ACO/AE ID or Insurer Overall]], $B138, AgeSex22[[#All], [Insurance Category Code]],5), 2)</f>
        <v>0</v>
      </c>
      <c r="T138" s="6">
        <f>ROUND(SUMIFS(AgeSex22[[#All],[Count of Members Whose Spending was Truncated]], AgeSex22[[#All],[ACO/AE ID or Insurer Overall]], $B138, AgeSex22[[#All], [Insurance Category Code]],5), 2)</f>
        <v>0</v>
      </c>
      <c r="U138" s="452">
        <f>ROUND(SUMIFS(AgeSex22[[#All],[Total Spending before Truncation is Applied]], AgeSex22[[#All],[ACO/AE ID or Insurer Overall]], $B138, AgeSex22[[#All], [Insurance Category Code]],5), 2)</f>
        <v>0</v>
      </c>
      <c r="V138" s="452">
        <f>ROUND(SUMIFS(AgeSex22[[#All],[Total Spending After Applying Truncation at the Member Level]], AgeSex22[[#All],[ACO/AE ID or Insurer Overall]], $B138, AgeSex22[[#All], [Insurance Category Code]],5), 2)</f>
        <v>0</v>
      </c>
      <c r="W138" s="457" t="str">
        <f>IF(R138=ROUND(SUMIFS(ACOAETME2022[[#All],[Member Months]], ACOAETME2022[[#All],[Insurance Category Code]],5, ACOAETME2022[[#All],[ACO/AE or Insurer Overall Organization ID]],Q138),2), "TRUE", ROUND(R138-SUMIFS(ACOAETME2022[[#All],[Member Months]], ACOAETME2022[[#All],[Insurance Category Code]],5, ACOAETME2022[[#All],[ACO/AE or Insurer Overall Organization ID]],Q138),2))</f>
        <v>TRUE</v>
      </c>
      <c r="X138" s="6" t="str">
        <f>IF(S138=ROUND(SUMIFS(ACOAETME2022[[#All],[Total Claims Excluded because of Truncation]], ACOAETME2022[[#All],[Insurance Category Code]],5, ACOAETME2022[[#All],[ACO/AE or Insurer Overall Organization ID]],Q138),2), "TRUE", ROUND(S138-SUMIFS(ACOAETME2022[[#All],[Total Claims Excluded because of Truncation]], ACOAETME2022[[#All],[Insurance Category Code]],5, ACOAETME2022[[#All],[ACO/AE or Insurer Overall Organization ID]],Q138),2))</f>
        <v>TRUE</v>
      </c>
      <c r="Y138" s="6" t="str">
        <f>IF(T138=ROUND(SUMIFS(ACOAETME2022[[#All],[Count of Members with Claims Truncated]], ACOAETME2022[[#All],[Insurance Category Code]],5,ACOAETME2022[[#All],[ACO/AE or Insurer Overall Organization ID]],Q138),2), "TRUE", ROUND(T138-SUMIFS(ACOAETME2022[[#All],[Count of Members with Claims Truncated]], ACOAETME2022[[#All],[Insurance Category Code]],5, ACOAETME2022[[#All],[ACO/AE or Insurer Overall Organization ID]],Q138),2))</f>
        <v>TRUE</v>
      </c>
      <c r="Z138" s="6" t="str">
        <f>IF(U138=ROUND(SUMIFS(ACOAETME2022[[#All],[TOTAL Non-Truncated Unadjusted Claims Expenses]], ACOAETME2022[[#All],[Insurance Category Code]],5, ACOAETME2022[[#All],[ACO/AE or Insurer Overall Organization ID]],Q138),2), "TRUE", ROUND(U138-SUMIFS(ACOAETME2022[[#All],[TOTAL Non-Truncated Unadjusted Claims Expenses]], ACOAETME2022[[#All],[Insurance Category Code]],5, ACOAETME2022[[#All],[ACO/AE or Insurer Overall Organization ID]],Q138),2))</f>
        <v>TRUE</v>
      </c>
      <c r="AA138" s="6" t="str">
        <f>IF(V138=ROUND(SUMIFS(ACOAETME2022[[#All],[TOTAL Truncated Unadjusted Claims Expenses (A19 - A17)]], ACOAETME2022[[#All],[Insurance Category Code]],5, ACOAETME2022[[#All],[ACO/AE or Insurer Overall Organization ID]],Q138),2), "TRUE", ROUND(V138-SUMIFS(ACOAETME2022[[#All],[TOTAL Truncated Unadjusted Claims Expenses (A19 - A17)]], ACOAETME2022[[#All],[Insurance Category Code]],5, ACOAETME2022[[#All],[ACO/AE or Insurer Overall Organization ID]],Q138),2))</f>
        <v>TRUE</v>
      </c>
      <c r="AB138" s="6" t="str">
        <f t="shared" si="30"/>
        <v>TRUE</v>
      </c>
      <c r="AC138" s="6" t="b">
        <f>ROUND(SUMIFS(ACOAETME2022[[#All],[TOTAL Non-Truncated Unadjusted Claims Expenses]], ACOAETME2022[[#All],[Insurance Category Code]],5, ACOAETME2022[[#All],[ACO/AE or Insurer Overall Organization ID]],Q138), 2)&gt;=ROUND(SUMIFS(ACOAETME2022[[#All],[TOTAL Truncated Unadjusted Claims Expenses (A19 - A17)]], ACOAETME2022[[#All],[Insurance Category Code]],5, ACOAETME2022[[#All],[ACO/AE or Insurer Overall Organization ID]],Q138),2)</f>
        <v>1</v>
      </c>
      <c r="AD138" s="6" t="b">
        <f>ROUND(SUMIFS(ACOAETME2022[[#All],[TOTAL Truncated Unadjusted Claims Expenses (A19 - A17)]], ACOAETME2022[[#All],[Insurance Category Code]],5, ACOAETME2022[[#All],[ACO/AE or Insurer Overall Organization ID]],Q138)+SUMIFS(ACOAETME2022[[#All],[Total Claims Excluded because of Truncation]], ACOAETME2022[[#All],[Insurance Category Code]],5, ACOAETME2022[[#All],[ACO/AE or Insurer Overall Organization ID]],Q138),2)=ROUND(SUMIFS(ACOAETME2022[[#All],[TOTAL Non-Truncated Unadjusted Claims Expenses]], ACOAETME2022[[#All],[Insurance Category Code]],5, ACOAETME2022[[#All],[ACO/AE or Insurer Overall Organization ID]],Q138), 2)</f>
        <v>1</v>
      </c>
      <c r="AG138" s="454" t="str">
        <f t="shared" si="31"/>
        <v>NA</v>
      </c>
    </row>
    <row r="139" spans="2:33" x14ac:dyDescent="0.35">
      <c r="B139" s="115">
        <v>103</v>
      </c>
      <c r="C139" s="192">
        <f>ROUND(SUMIFS(AgeSex21[[#All],[Total Member Months by Age/Sex Band]], AgeSex21[[#All],[ACO/AE ID or Insurer Overall]], $B139, AgeSex21[[#All], [Insurance Category Code]],5), 2)</f>
        <v>0</v>
      </c>
      <c r="D139" s="452">
        <f>ROUND(SUMIFS(AgeSex21[[#All],[Total Dollars Excluded from Spending After Applying Truncation at the Member Level]], AgeSex21[[#All],[ACO/AE ID or Insurer Overall]], $B139, AgeSex21[[#All], [Insurance Category Code]],5), 2)</f>
        <v>0</v>
      </c>
      <c r="E139" s="6">
        <f>ROUND(SUMIFS(AgeSex21[[#All],[Count of Members Whose Spending was Truncated]], AgeSex21[[#All],[ACO/AE ID or Insurer Overall]], $B139, AgeSex21[[#All], [Insurance Category Code]],5), 2)</f>
        <v>0</v>
      </c>
      <c r="F139" s="452">
        <f>ROUND(SUMIFS(AgeSex21[[#All],[Total Spending before Truncation is Applied]], AgeSex21[[#All],[ACO/AE ID or Insurer Overall]], $B139, AgeSex21[[#All], [Insurance Category Code]],5), 2)</f>
        <v>0</v>
      </c>
      <c r="G139" s="452">
        <f>ROUND(SUMIFS(AgeSex21[[#All],[Total Spending After Applying Truncation at the Member Level]], AgeSex21[[#All],[ACO/AE ID or Insurer Overall]], $B139, AgeSex21[[#All], [Insurance Category Code]],5), 2)</f>
        <v>0</v>
      </c>
      <c r="H139" s="457" t="str">
        <f>IF(C139=ROUND(SUMIFS(ACOAETME2021[[#All],[Member Months]], ACOAETME2021[[#All],[Insurance Category Code]],5, ACOAETME2021[[#All],[ACO/AE or Insurer Overall Organization ID]],B139),2), "TRUE", ROUND(C139-SUMIFS(ACOAETME2021[[#All],[Member Months]], ACOAETME2021[[#All],[Insurance Category Code]],5, ACOAETME2021[[#All],[ACO/AE or Insurer Overall Organization ID]],B139),2))</f>
        <v>TRUE</v>
      </c>
      <c r="I139" s="6" t="str">
        <f>IF(D139=ROUND(SUMIFS(ACOAETME2021[[#All],[Total Claims Excluded because of Truncation]], ACOAETME2021[[#All],[Insurance Category Code]],5, ACOAETME2021[[#All],[ACO/AE or Insurer Overall Organization ID]],B139),2), "TRUE", ROUND(D139-SUMIFS(ACOAETME2021[[#All],[Total Claims Excluded because of Truncation]], ACOAETME2021[[#All],[Insurance Category Code]],5, ACOAETME2021[[#All],[ACO/AE or Insurer Overall Organization ID]],B139),2))</f>
        <v>TRUE</v>
      </c>
      <c r="J139" s="6" t="str">
        <f>IF(E139=ROUND(SUMIFS(ACOAETME2021[[#All],[Count of Members with Claims Truncated]], ACOAETME2021[[#All],[Insurance Category Code]],5,ACOAETME2021[[#All],[ACO/AE or Insurer Overall Organization ID]],B139),2), "TRUE", ROUND(E139-SUMIFS(ACOAETME2021[[#All],[Count of Members with Claims Truncated]], ACOAETME2021[[#All],[Insurance Category Code]],5, ACOAETME2021[[#All],[ACO/AE or Insurer Overall Organization ID]],B139),2))</f>
        <v>TRUE</v>
      </c>
      <c r="K139" s="6" t="str">
        <f>IF(F139=ROUND(SUMIFS(ACOAETME2021[[#All],[TOTAL Non-Truncated Unadjusted Claims Expenses]], ACOAETME2021[[#All],[Insurance Category Code]],5, ACOAETME2021[[#All],[ACO/AE or Insurer Overall Organization ID]],B139),2), "TRUE", ROUND(F139-SUMIFS(ACOAETME2021[[#All],[TOTAL Non-Truncated Unadjusted Claims Expenses]], ACOAETME2021[[#All],[Insurance Category Code]],5, ACOAETME2021[[#All],[ACO/AE or Insurer Overall Organization ID]],B139),2))</f>
        <v>TRUE</v>
      </c>
      <c r="L139" s="6" t="str">
        <f>IF(G139=ROUND(SUMIFS(ACOAETME2021[[#All],[TOTAL Truncated Unadjusted Claims Expenses (A19 - A17)]], ACOAETME2021[[#All],[Insurance Category Code]],5, ACOAETME2021[[#All],[ACO/AE or Insurer Overall Organization ID]],B139),2), "TRUE", ROUND(G139-SUMIFS(ACOAETME2021[[#All],[TOTAL Truncated Unadjusted Claims Expenses (A19 - A17)]], ACOAETME2021[[#All],[Insurance Category Code]],5, ACOAETME2021[[#All],[ACO/AE or Insurer Overall Organization ID]],B139),2))</f>
        <v>TRUE</v>
      </c>
      <c r="M139" s="6" t="str">
        <f t="shared" si="32"/>
        <v>TRUE</v>
      </c>
      <c r="N139" s="6" t="b">
        <f>ROUND(SUMIFS(ACOAETME2021[[#All],[TOTAL Non-Truncated Unadjusted Claims Expenses]], ACOAETME2021[[#All],[Insurance Category Code]],5, ACOAETME2021[[#All],[ACO/AE or Insurer Overall Organization ID]],B139), 2)&gt;=ROUND(SUMIFS(ACOAETME2021[[#All],[TOTAL Truncated Unadjusted Claims Expenses (A19 - A17)]], ACOAETME2021[[#All],[Insurance Category Code]],5, ACOAETME2021[[#All],[ACO/AE or Insurer Overall Organization ID]],B139),2)</f>
        <v>1</v>
      </c>
      <c r="O139" s="6" t="b">
        <f>ROUND(SUMIFS(ACOAETME2021[[#All],[TOTAL Truncated Unadjusted Claims Expenses (A19 - A17)]], ACOAETME2021[[#All],[Insurance Category Code]],5, ACOAETME2021[[#All],[ACO/AE or Insurer Overall Organization ID]],B139)+SUMIFS(ACOAETME2021[[#All],[Total Claims Excluded because of Truncation]], ACOAETME2021[[#All],[Insurance Category Code]],5, ACOAETME2021[[#All],[ACO/AE or Insurer Overall Organization ID]],B139),2)=ROUND(SUMIFS(ACOAETME2021[[#All],[TOTAL Non-Truncated Unadjusted Claims Expenses]], ACOAETME2021[[#All],[Insurance Category Code]],5, ACOAETME2021[[#All],[ACO/AE or Insurer Overall Organization ID]],B139), 2)</f>
        <v>1</v>
      </c>
      <c r="Q139" s="115">
        <v>103</v>
      </c>
      <c r="R139" s="192">
        <f>ROUND(SUMIFS(AgeSex22[[#All],[Total Member Months by Age/Sex Band]], AgeSex22[[#All],[ACO/AE ID or Insurer Overall]], $B139, AgeSex22[[#All], [Insurance Category Code]],5), 2)</f>
        <v>0</v>
      </c>
      <c r="S139" s="452">
        <f>ROUND(SUMIFS(AgeSex22[[#All],[Total Dollars Excluded from Spending After Applying Truncation at the Member Level]], AgeSex22[[#All],[ACO/AE ID or Insurer Overall]], $B139, AgeSex22[[#All], [Insurance Category Code]],5), 2)</f>
        <v>0</v>
      </c>
      <c r="T139" s="6">
        <f>ROUND(SUMIFS(AgeSex22[[#All],[Count of Members Whose Spending was Truncated]], AgeSex22[[#All],[ACO/AE ID or Insurer Overall]], $B139, AgeSex22[[#All], [Insurance Category Code]],5), 2)</f>
        <v>0</v>
      </c>
      <c r="U139" s="452">
        <f>ROUND(SUMIFS(AgeSex22[[#All],[Total Spending before Truncation is Applied]], AgeSex22[[#All],[ACO/AE ID or Insurer Overall]], $B139, AgeSex22[[#All], [Insurance Category Code]],5), 2)</f>
        <v>0</v>
      </c>
      <c r="V139" s="452">
        <f>ROUND(SUMIFS(AgeSex22[[#All],[Total Spending After Applying Truncation at the Member Level]], AgeSex22[[#All],[ACO/AE ID or Insurer Overall]], $B139, AgeSex22[[#All], [Insurance Category Code]],5), 2)</f>
        <v>0</v>
      </c>
      <c r="W139" s="457" t="str">
        <f>IF(R139=ROUND(SUMIFS(ACOAETME2022[[#All],[Member Months]], ACOAETME2022[[#All],[Insurance Category Code]],5, ACOAETME2022[[#All],[ACO/AE or Insurer Overall Organization ID]],Q139),2), "TRUE", ROUND(R139-SUMIFS(ACOAETME2022[[#All],[Member Months]], ACOAETME2022[[#All],[Insurance Category Code]],5, ACOAETME2022[[#All],[ACO/AE or Insurer Overall Organization ID]],Q139),2))</f>
        <v>TRUE</v>
      </c>
      <c r="X139" s="6" t="str">
        <f>IF(S139=ROUND(SUMIFS(ACOAETME2022[[#All],[Total Claims Excluded because of Truncation]], ACOAETME2022[[#All],[Insurance Category Code]],5, ACOAETME2022[[#All],[ACO/AE or Insurer Overall Organization ID]],Q139),2), "TRUE", ROUND(S139-SUMIFS(ACOAETME2022[[#All],[Total Claims Excluded because of Truncation]], ACOAETME2022[[#All],[Insurance Category Code]],5, ACOAETME2022[[#All],[ACO/AE or Insurer Overall Organization ID]],Q139),2))</f>
        <v>TRUE</v>
      </c>
      <c r="Y139" s="6" t="str">
        <f>IF(T139=ROUND(SUMIFS(ACOAETME2022[[#All],[Count of Members with Claims Truncated]], ACOAETME2022[[#All],[Insurance Category Code]],5,ACOAETME2022[[#All],[ACO/AE or Insurer Overall Organization ID]],Q139),2), "TRUE", ROUND(T139-SUMIFS(ACOAETME2022[[#All],[Count of Members with Claims Truncated]], ACOAETME2022[[#All],[Insurance Category Code]],5, ACOAETME2022[[#All],[ACO/AE or Insurer Overall Organization ID]],Q139),2))</f>
        <v>TRUE</v>
      </c>
      <c r="Z139" s="6" t="str">
        <f>IF(U139=ROUND(SUMIFS(ACOAETME2022[[#All],[TOTAL Non-Truncated Unadjusted Claims Expenses]], ACOAETME2022[[#All],[Insurance Category Code]],5, ACOAETME2022[[#All],[ACO/AE or Insurer Overall Organization ID]],Q139),2), "TRUE", ROUND(U139-SUMIFS(ACOAETME2022[[#All],[TOTAL Non-Truncated Unadjusted Claims Expenses]], ACOAETME2022[[#All],[Insurance Category Code]],5, ACOAETME2022[[#All],[ACO/AE or Insurer Overall Organization ID]],Q139),2))</f>
        <v>TRUE</v>
      </c>
      <c r="AA139" s="6" t="str">
        <f>IF(V139=ROUND(SUMIFS(ACOAETME2022[[#All],[TOTAL Truncated Unadjusted Claims Expenses (A19 - A17)]], ACOAETME2022[[#All],[Insurance Category Code]],5, ACOAETME2022[[#All],[ACO/AE or Insurer Overall Organization ID]],Q139),2), "TRUE", ROUND(V139-SUMIFS(ACOAETME2022[[#All],[TOTAL Truncated Unadjusted Claims Expenses (A19 - A17)]], ACOAETME2022[[#All],[Insurance Category Code]],5, ACOAETME2022[[#All],[ACO/AE or Insurer Overall Organization ID]],Q139),2))</f>
        <v>TRUE</v>
      </c>
      <c r="AB139" s="6" t="str">
        <f t="shared" si="30"/>
        <v>TRUE</v>
      </c>
      <c r="AC139" s="6" t="b">
        <f>ROUND(SUMIFS(ACOAETME2022[[#All],[TOTAL Non-Truncated Unadjusted Claims Expenses]], ACOAETME2022[[#All],[Insurance Category Code]],5, ACOAETME2022[[#All],[ACO/AE or Insurer Overall Organization ID]],Q139), 2)&gt;=ROUND(SUMIFS(ACOAETME2022[[#All],[TOTAL Truncated Unadjusted Claims Expenses (A19 - A17)]], ACOAETME2022[[#All],[Insurance Category Code]],5, ACOAETME2022[[#All],[ACO/AE or Insurer Overall Organization ID]],Q139),2)</f>
        <v>1</v>
      </c>
      <c r="AD139" s="6" t="b">
        <f>ROUND(SUMIFS(ACOAETME2022[[#All],[TOTAL Truncated Unadjusted Claims Expenses (A19 - A17)]], ACOAETME2022[[#All],[Insurance Category Code]],5, ACOAETME2022[[#All],[ACO/AE or Insurer Overall Organization ID]],Q139)+SUMIFS(ACOAETME2022[[#All],[Total Claims Excluded because of Truncation]], ACOAETME2022[[#All],[Insurance Category Code]],5, ACOAETME2022[[#All],[ACO/AE or Insurer Overall Organization ID]],Q139),2)=ROUND(SUMIFS(ACOAETME2022[[#All],[TOTAL Non-Truncated Unadjusted Claims Expenses]], ACOAETME2022[[#All],[Insurance Category Code]],5, ACOAETME2022[[#All],[ACO/AE or Insurer Overall Organization ID]],Q139), 2)</f>
        <v>1</v>
      </c>
      <c r="AG139" s="454" t="str">
        <f t="shared" si="31"/>
        <v>NA</v>
      </c>
    </row>
    <row r="140" spans="2:33" x14ac:dyDescent="0.35">
      <c r="B140" s="115">
        <v>104</v>
      </c>
      <c r="C140" s="192">
        <f>ROUND(SUMIFS(AgeSex21[[#All],[Total Member Months by Age/Sex Band]], AgeSex21[[#All],[ACO/AE ID or Insurer Overall]], $B140, AgeSex21[[#All], [Insurance Category Code]],5), 2)</f>
        <v>0</v>
      </c>
      <c r="D140" s="452">
        <f>ROUND(SUMIFS(AgeSex21[[#All],[Total Dollars Excluded from Spending After Applying Truncation at the Member Level]], AgeSex21[[#All],[ACO/AE ID or Insurer Overall]], $B140, AgeSex21[[#All], [Insurance Category Code]],5), 2)</f>
        <v>0</v>
      </c>
      <c r="E140" s="6">
        <f>ROUND(SUMIFS(AgeSex21[[#All],[Count of Members Whose Spending was Truncated]], AgeSex21[[#All],[ACO/AE ID or Insurer Overall]], $B140, AgeSex21[[#All], [Insurance Category Code]],5), 2)</f>
        <v>0</v>
      </c>
      <c r="F140" s="452">
        <f>ROUND(SUMIFS(AgeSex21[[#All],[Total Spending before Truncation is Applied]], AgeSex21[[#All],[ACO/AE ID or Insurer Overall]], $B140, AgeSex21[[#All], [Insurance Category Code]],5), 2)</f>
        <v>0</v>
      </c>
      <c r="G140" s="452">
        <f>ROUND(SUMIFS(AgeSex21[[#All],[Total Spending After Applying Truncation at the Member Level]], AgeSex21[[#All],[ACO/AE ID or Insurer Overall]], $B140, AgeSex21[[#All], [Insurance Category Code]],5), 2)</f>
        <v>0</v>
      </c>
      <c r="H140" s="457" t="str">
        <f>IF(C140=ROUND(SUMIFS(ACOAETME2021[[#All],[Member Months]], ACOAETME2021[[#All],[Insurance Category Code]],5, ACOAETME2021[[#All],[ACO/AE or Insurer Overall Organization ID]],B140),2), "TRUE", ROUND(C140-SUMIFS(ACOAETME2021[[#All],[Member Months]], ACOAETME2021[[#All],[Insurance Category Code]],5, ACOAETME2021[[#All],[ACO/AE or Insurer Overall Organization ID]],B140),2))</f>
        <v>TRUE</v>
      </c>
      <c r="I140" s="6" t="str">
        <f>IF(D140=ROUND(SUMIFS(ACOAETME2021[[#All],[Total Claims Excluded because of Truncation]], ACOAETME2021[[#All],[Insurance Category Code]],5, ACOAETME2021[[#All],[ACO/AE or Insurer Overall Organization ID]],B140),2), "TRUE", ROUND(D140-SUMIFS(ACOAETME2021[[#All],[Total Claims Excluded because of Truncation]], ACOAETME2021[[#All],[Insurance Category Code]],5, ACOAETME2021[[#All],[ACO/AE or Insurer Overall Organization ID]],B140),2))</f>
        <v>TRUE</v>
      </c>
      <c r="J140" s="6" t="str">
        <f>IF(E140=ROUND(SUMIFS(ACOAETME2021[[#All],[Count of Members with Claims Truncated]], ACOAETME2021[[#All],[Insurance Category Code]],5,ACOAETME2021[[#All],[ACO/AE or Insurer Overall Organization ID]],B140),2), "TRUE", ROUND(E140-SUMIFS(ACOAETME2021[[#All],[Count of Members with Claims Truncated]], ACOAETME2021[[#All],[Insurance Category Code]],5, ACOAETME2021[[#All],[ACO/AE or Insurer Overall Organization ID]],B140),2))</f>
        <v>TRUE</v>
      </c>
      <c r="K140" s="6" t="str">
        <f>IF(F140=ROUND(SUMIFS(ACOAETME2021[[#All],[TOTAL Non-Truncated Unadjusted Claims Expenses]], ACOAETME2021[[#All],[Insurance Category Code]],5, ACOAETME2021[[#All],[ACO/AE or Insurer Overall Organization ID]],B140),2), "TRUE", ROUND(F140-SUMIFS(ACOAETME2021[[#All],[TOTAL Non-Truncated Unadjusted Claims Expenses]], ACOAETME2021[[#All],[Insurance Category Code]],5, ACOAETME2021[[#All],[ACO/AE or Insurer Overall Organization ID]],B140),2))</f>
        <v>TRUE</v>
      </c>
      <c r="L140" s="6" t="str">
        <f>IF(G140=ROUND(SUMIFS(ACOAETME2021[[#All],[TOTAL Truncated Unadjusted Claims Expenses (A19 - A17)]], ACOAETME2021[[#All],[Insurance Category Code]],5, ACOAETME2021[[#All],[ACO/AE or Insurer Overall Organization ID]],B140),2), "TRUE", ROUND(G140-SUMIFS(ACOAETME2021[[#All],[TOTAL Truncated Unadjusted Claims Expenses (A19 - A17)]], ACOAETME2021[[#All],[Insurance Category Code]],5, ACOAETME2021[[#All],[ACO/AE or Insurer Overall Organization ID]],B140),2))</f>
        <v>TRUE</v>
      </c>
      <c r="M140" s="6" t="str">
        <f t="shared" si="32"/>
        <v>TRUE</v>
      </c>
      <c r="N140" s="6" t="b">
        <f>ROUND(SUMIFS(ACOAETME2021[[#All],[TOTAL Non-Truncated Unadjusted Claims Expenses]], ACOAETME2021[[#All],[Insurance Category Code]],5, ACOAETME2021[[#All],[ACO/AE or Insurer Overall Organization ID]],B140), 2)&gt;=ROUND(SUMIFS(ACOAETME2021[[#All],[TOTAL Truncated Unadjusted Claims Expenses (A19 - A17)]], ACOAETME2021[[#All],[Insurance Category Code]],5, ACOAETME2021[[#All],[ACO/AE or Insurer Overall Organization ID]],B140),2)</f>
        <v>1</v>
      </c>
      <c r="O140" s="6" t="b">
        <f>ROUND(SUMIFS(ACOAETME2021[[#All],[TOTAL Truncated Unadjusted Claims Expenses (A19 - A17)]], ACOAETME2021[[#All],[Insurance Category Code]],5, ACOAETME2021[[#All],[ACO/AE or Insurer Overall Organization ID]],B140)+SUMIFS(ACOAETME2021[[#All],[Total Claims Excluded because of Truncation]], ACOAETME2021[[#All],[Insurance Category Code]],5, ACOAETME2021[[#All],[ACO/AE or Insurer Overall Organization ID]],B140),2)=ROUND(SUMIFS(ACOAETME2021[[#All],[TOTAL Non-Truncated Unadjusted Claims Expenses]], ACOAETME2021[[#All],[Insurance Category Code]],5, ACOAETME2021[[#All],[ACO/AE or Insurer Overall Organization ID]],B140), 2)</f>
        <v>1</v>
      </c>
      <c r="Q140" s="115">
        <v>104</v>
      </c>
      <c r="R140" s="192">
        <f>ROUND(SUMIFS(AgeSex22[[#All],[Total Member Months by Age/Sex Band]], AgeSex22[[#All],[ACO/AE ID or Insurer Overall]], $B140, AgeSex22[[#All], [Insurance Category Code]],5), 2)</f>
        <v>0</v>
      </c>
      <c r="S140" s="452">
        <f>ROUND(SUMIFS(AgeSex22[[#All],[Total Dollars Excluded from Spending After Applying Truncation at the Member Level]], AgeSex22[[#All],[ACO/AE ID or Insurer Overall]], $B140, AgeSex22[[#All], [Insurance Category Code]],5), 2)</f>
        <v>0</v>
      </c>
      <c r="T140" s="6">
        <f>ROUND(SUMIFS(AgeSex22[[#All],[Count of Members Whose Spending was Truncated]], AgeSex22[[#All],[ACO/AE ID or Insurer Overall]], $B140, AgeSex22[[#All], [Insurance Category Code]],5), 2)</f>
        <v>0</v>
      </c>
      <c r="U140" s="452">
        <f>ROUND(SUMIFS(AgeSex22[[#All],[Total Spending before Truncation is Applied]], AgeSex22[[#All],[ACO/AE ID or Insurer Overall]], $B140, AgeSex22[[#All], [Insurance Category Code]],5), 2)</f>
        <v>0</v>
      </c>
      <c r="V140" s="452">
        <f>ROUND(SUMIFS(AgeSex22[[#All],[Total Spending After Applying Truncation at the Member Level]], AgeSex22[[#All],[ACO/AE ID or Insurer Overall]], $B140, AgeSex22[[#All], [Insurance Category Code]],5), 2)</f>
        <v>0</v>
      </c>
      <c r="W140" s="457" t="str">
        <f>IF(R140=ROUND(SUMIFS(ACOAETME2022[[#All],[Member Months]], ACOAETME2022[[#All],[Insurance Category Code]],5, ACOAETME2022[[#All],[ACO/AE or Insurer Overall Organization ID]],Q140),2), "TRUE", ROUND(R140-SUMIFS(ACOAETME2022[[#All],[Member Months]], ACOAETME2022[[#All],[Insurance Category Code]],5, ACOAETME2022[[#All],[ACO/AE or Insurer Overall Organization ID]],Q140),2))</f>
        <v>TRUE</v>
      </c>
      <c r="X140" s="6" t="str">
        <f>IF(S140=ROUND(SUMIFS(ACOAETME2022[[#All],[Total Claims Excluded because of Truncation]], ACOAETME2022[[#All],[Insurance Category Code]],5, ACOAETME2022[[#All],[ACO/AE or Insurer Overall Organization ID]],Q140),2), "TRUE", ROUND(S140-SUMIFS(ACOAETME2022[[#All],[Total Claims Excluded because of Truncation]], ACOAETME2022[[#All],[Insurance Category Code]],5, ACOAETME2022[[#All],[ACO/AE or Insurer Overall Organization ID]],Q140),2))</f>
        <v>TRUE</v>
      </c>
      <c r="Y140" s="6" t="str">
        <f>IF(T140=ROUND(SUMIFS(ACOAETME2022[[#All],[Count of Members with Claims Truncated]], ACOAETME2022[[#All],[Insurance Category Code]],5,ACOAETME2022[[#All],[ACO/AE or Insurer Overall Organization ID]],Q140),2), "TRUE", ROUND(T140-SUMIFS(ACOAETME2022[[#All],[Count of Members with Claims Truncated]], ACOAETME2022[[#All],[Insurance Category Code]],5, ACOAETME2022[[#All],[ACO/AE or Insurer Overall Organization ID]],Q140),2))</f>
        <v>TRUE</v>
      </c>
      <c r="Z140" s="6" t="str">
        <f>IF(U140=ROUND(SUMIFS(ACOAETME2022[[#All],[TOTAL Non-Truncated Unadjusted Claims Expenses]], ACOAETME2022[[#All],[Insurance Category Code]],5, ACOAETME2022[[#All],[ACO/AE or Insurer Overall Organization ID]],Q140),2), "TRUE", ROUND(U140-SUMIFS(ACOAETME2022[[#All],[TOTAL Non-Truncated Unadjusted Claims Expenses]], ACOAETME2022[[#All],[Insurance Category Code]],5, ACOAETME2022[[#All],[ACO/AE or Insurer Overall Organization ID]],Q140),2))</f>
        <v>TRUE</v>
      </c>
      <c r="AA140" s="6" t="str">
        <f>IF(V140=ROUND(SUMIFS(ACOAETME2022[[#All],[TOTAL Truncated Unadjusted Claims Expenses (A19 - A17)]], ACOAETME2022[[#All],[Insurance Category Code]],5, ACOAETME2022[[#All],[ACO/AE or Insurer Overall Organization ID]],Q140),2), "TRUE", ROUND(V140-SUMIFS(ACOAETME2022[[#All],[TOTAL Truncated Unadjusted Claims Expenses (A19 - A17)]], ACOAETME2022[[#All],[Insurance Category Code]],5, ACOAETME2022[[#All],[ACO/AE or Insurer Overall Organization ID]],Q140),2))</f>
        <v>TRUE</v>
      </c>
      <c r="AB140" s="6" t="str">
        <f t="shared" si="30"/>
        <v>TRUE</v>
      </c>
      <c r="AC140" s="6" t="b">
        <f>ROUND(SUMIFS(ACOAETME2022[[#All],[TOTAL Non-Truncated Unadjusted Claims Expenses]], ACOAETME2022[[#All],[Insurance Category Code]],5, ACOAETME2022[[#All],[ACO/AE or Insurer Overall Organization ID]],Q140), 2)&gt;=ROUND(SUMIFS(ACOAETME2022[[#All],[TOTAL Truncated Unadjusted Claims Expenses (A19 - A17)]], ACOAETME2022[[#All],[Insurance Category Code]],5, ACOAETME2022[[#All],[ACO/AE or Insurer Overall Organization ID]],Q140),2)</f>
        <v>1</v>
      </c>
      <c r="AD140" s="6" t="b">
        <f>ROUND(SUMIFS(ACOAETME2022[[#All],[TOTAL Truncated Unadjusted Claims Expenses (A19 - A17)]], ACOAETME2022[[#All],[Insurance Category Code]],5, ACOAETME2022[[#All],[ACO/AE or Insurer Overall Organization ID]],Q140)+SUMIFS(ACOAETME2022[[#All],[Total Claims Excluded because of Truncation]], ACOAETME2022[[#All],[Insurance Category Code]],5, ACOAETME2022[[#All],[ACO/AE or Insurer Overall Organization ID]],Q140),2)=ROUND(SUMIFS(ACOAETME2022[[#All],[TOTAL Non-Truncated Unadjusted Claims Expenses]], ACOAETME2022[[#All],[Insurance Category Code]],5, ACOAETME2022[[#All],[ACO/AE or Insurer Overall Organization ID]],Q140), 2)</f>
        <v>1</v>
      </c>
      <c r="AG140" s="454" t="str">
        <f t="shared" si="31"/>
        <v>NA</v>
      </c>
    </row>
    <row r="141" spans="2:33" x14ac:dyDescent="0.35">
      <c r="B141" s="115">
        <v>105</v>
      </c>
      <c r="C141" s="192">
        <f>ROUND(SUMIFS(AgeSex21[[#All],[Total Member Months by Age/Sex Band]], AgeSex21[[#All],[ACO/AE ID or Insurer Overall]], $B141, AgeSex21[[#All], [Insurance Category Code]],5), 2)</f>
        <v>0</v>
      </c>
      <c r="D141" s="452">
        <f>ROUND(SUMIFS(AgeSex21[[#All],[Total Dollars Excluded from Spending After Applying Truncation at the Member Level]], AgeSex21[[#All],[ACO/AE ID or Insurer Overall]], $B141, AgeSex21[[#All], [Insurance Category Code]],5), 2)</f>
        <v>0</v>
      </c>
      <c r="E141" s="6">
        <f>ROUND(SUMIFS(AgeSex21[[#All],[Count of Members Whose Spending was Truncated]], AgeSex21[[#All],[ACO/AE ID or Insurer Overall]], $B141, AgeSex21[[#All], [Insurance Category Code]],5), 2)</f>
        <v>0</v>
      </c>
      <c r="F141" s="452">
        <f>ROUND(SUMIFS(AgeSex21[[#All],[Total Spending before Truncation is Applied]], AgeSex21[[#All],[ACO/AE ID or Insurer Overall]], $B141, AgeSex21[[#All], [Insurance Category Code]],5), 2)</f>
        <v>0</v>
      </c>
      <c r="G141" s="452">
        <f>ROUND(SUMIFS(AgeSex21[[#All],[Total Spending After Applying Truncation at the Member Level]], AgeSex21[[#All],[ACO/AE ID or Insurer Overall]], $B141, AgeSex21[[#All], [Insurance Category Code]],5), 2)</f>
        <v>0</v>
      </c>
      <c r="H141" s="457" t="str">
        <f>IF(C141=ROUND(SUMIFS(ACOAETME2021[[#All],[Member Months]], ACOAETME2021[[#All],[Insurance Category Code]],5, ACOAETME2021[[#All],[ACO/AE or Insurer Overall Organization ID]],B141),2), "TRUE", ROUND(C141-SUMIFS(ACOAETME2021[[#All],[Member Months]], ACOAETME2021[[#All],[Insurance Category Code]],5, ACOAETME2021[[#All],[ACO/AE or Insurer Overall Organization ID]],B141),2))</f>
        <v>TRUE</v>
      </c>
      <c r="I141" s="6" t="str">
        <f>IF(D141=ROUND(SUMIFS(ACOAETME2021[[#All],[Total Claims Excluded because of Truncation]], ACOAETME2021[[#All],[Insurance Category Code]],5, ACOAETME2021[[#All],[ACO/AE or Insurer Overall Organization ID]],B141),2), "TRUE", ROUND(D141-SUMIFS(ACOAETME2021[[#All],[Total Claims Excluded because of Truncation]], ACOAETME2021[[#All],[Insurance Category Code]],5, ACOAETME2021[[#All],[ACO/AE or Insurer Overall Organization ID]],B141),2))</f>
        <v>TRUE</v>
      </c>
      <c r="J141" s="6" t="str">
        <f>IF(E141=ROUND(SUMIFS(ACOAETME2021[[#All],[Count of Members with Claims Truncated]], ACOAETME2021[[#All],[Insurance Category Code]],5,ACOAETME2021[[#All],[ACO/AE or Insurer Overall Organization ID]],B141),2), "TRUE", ROUND(E141-SUMIFS(ACOAETME2021[[#All],[Count of Members with Claims Truncated]], ACOAETME2021[[#All],[Insurance Category Code]],5, ACOAETME2021[[#All],[ACO/AE or Insurer Overall Organization ID]],B141),2))</f>
        <v>TRUE</v>
      </c>
      <c r="K141" s="6" t="str">
        <f>IF(F141=ROUND(SUMIFS(ACOAETME2021[[#All],[TOTAL Non-Truncated Unadjusted Claims Expenses]], ACOAETME2021[[#All],[Insurance Category Code]],5, ACOAETME2021[[#All],[ACO/AE or Insurer Overall Organization ID]],B141),2), "TRUE", ROUND(F141-SUMIFS(ACOAETME2021[[#All],[TOTAL Non-Truncated Unadjusted Claims Expenses]], ACOAETME2021[[#All],[Insurance Category Code]],5, ACOAETME2021[[#All],[ACO/AE or Insurer Overall Organization ID]],B141),2))</f>
        <v>TRUE</v>
      </c>
      <c r="L141" s="6" t="str">
        <f>IF(G141=ROUND(SUMIFS(ACOAETME2021[[#All],[TOTAL Truncated Unadjusted Claims Expenses (A19 - A17)]], ACOAETME2021[[#All],[Insurance Category Code]],5, ACOAETME2021[[#All],[ACO/AE or Insurer Overall Organization ID]],B141),2), "TRUE", ROUND(G141-SUMIFS(ACOAETME2021[[#All],[TOTAL Truncated Unadjusted Claims Expenses (A19 - A17)]], ACOAETME2021[[#All],[Insurance Category Code]],5, ACOAETME2021[[#All],[ACO/AE or Insurer Overall Organization ID]],B141),2))</f>
        <v>TRUE</v>
      </c>
      <c r="M141" s="6" t="str">
        <f t="shared" si="32"/>
        <v>TRUE</v>
      </c>
      <c r="N141" s="6" t="b">
        <f>ROUND(SUMIFS(ACOAETME2021[[#All],[TOTAL Non-Truncated Unadjusted Claims Expenses]], ACOAETME2021[[#All],[Insurance Category Code]],5, ACOAETME2021[[#All],[ACO/AE or Insurer Overall Organization ID]],B141), 2)&gt;=ROUND(SUMIFS(ACOAETME2021[[#All],[TOTAL Truncated Unadjusted Claims Expenses (A19 - A17)]], ACOAETME2021[[#All],[Insurance Category Code]],5, ACOAETME2021[[#All],[ACO/AE or Insurer Overall Organization ID]],B141),2)</f>
        <v>1</v>
      </c>
      <c r="O141" s="6" t="b">
        <f>ROUND(SUMIFS(ACOAETME2021[[#All],[TOTAL Truncated Unadjusted Claims Expenses (A19 - A17)]], ACOAETME2021[[#All],[Insurance Category Code]],5, ACOAETME2021[[#All],[ACO/AE or Insurer Overall Organization ID]],B141)+SUMIFS(ACOAETME2021[[#All],[Total Claims Excluded because of Truncation]], ACOAETME2021[[#All],[Insurance Category Code]],5, ACOAETME2021[[#All],[ACO/AE or Insurer Overall Organization ID]],B141),2)=ROUND(SUMIFS(ACOAETME2021[[#All],[TOTAL Non-Truncated Unadjusted Claims Expenses]], ACOAETME2021[[#All],[Insurance Category Code]],5, ACOAETME2021[[#All],[ACO/AE or Insurer Overall Organization ID]],B141), 2)</f>
        <v>1</v>
      </c>
      <c r="Q141" s="115">
        <v>105</v>
      </c>
      <c r="R141" s="192">
        <f>ROUND(SUMIFS(AgeSex22[[#All],[Total Member Months by Age/Sex Band]], AgeSex22[[#All],[ACO/AE ID or Insurer Overall]], $B141, AgeSex22[[#All], [Insurance Category Code]],5), 2)</f>
        <v>0</v>
      </c>
      <c r="S141" s="452">
        <f>ROUND(SUMIFS(AgeSex22[[#All],[Total Dollars Excluded from Spending After Applying Truncation at the Member Level]], AgeSex22[[#All],[ACO/AE ID or Insurer Overall]], $B141, AgeSex22[[#All], [Insurance Category Code]],5), 2)</f>
        <v>0</v>
      </c>
      <c r="T141" s="6">
        <f>ROUND(SUMIFS(AgeSex22[[#All],[Count of Members Whose Spending was Truncated]], AgeSex22[[#All],[ACO/AE ID or Insurer Overall]], $B141, AgeSex22[[#All], [Insurance Category Code]],5), 2)</f>
        <v>0</v>
      </c>
      <c r="U141" s="452">
        <f>ROUND(SUMIFS(AgeSex22[[#All],[Total Spending before Truncation is Applied]], AgeSex22[[#All],[ACO/AE ID or Insurer Overall]], $B141, AgeSex22[[#All], [Insurance Category Code]],5), 2)</f>
        <v>0</v>
      </c>
      <c r="V141" s="452">
        <f>ROUND(SUMIFS(AgeSex22[[#All],[Total Spending After Applying Truncation at the Member Level]], AgeSex22[[#All],[ACO/AE ID or Insurer Overall]], $B141, AgeSex22[[#All], [Insurance Category Code]],5), 2)</f>
        <v>0</v>
      </c>
      <c r="W141" s="457" t="str">
        <f>IF(R141=ROUND(SUMIFS(ACOAETME2022[[#All],[Member Months]], ACOAETME2022[[#All],[Insurance Category Code]],5, ACOAETME2022[[#All],[ACO/AE or Insurer Overall Organization ID]],Q141),2), "TRUE", ROUND(R141-SUMIFS(ACOAETME2022[[#All],[Member Months]], ACOAETME2022[[#All],[Insurance Category Code]],5, ACOAETME2022[[#All],[ACO/AE or Insurer Overall Organization ID]],Q141),2))</f>
        <v>TRUE</v>
      </c>
      <c r="X141" s="6" t="str">
        <f>IF(S141=ROUND(SUMIFS(ACOAETME2022[[#All],[Total Claims Excluded because of Truncation]], ACOAETME2022[[#All],[Insurance Category Code]],5, ACOAETME2022[[#All],[ACO/AE or Insurer Overall Organization ID]],Q141),2), "TRUE", ROUND(S141-SUMIFS(ACOAETME2022[[#All],[Total Claims Excluded because of Truncation]], ACOAETME2022[[#All],[Insurance Category Code]],5, ACOAETME2022[[#All],[ACO/AE or Insurer Overall Organization ID]],Q141),2))</f>
        <v>TRUE</v>
      </c>
      <c r="Y141" s="6" t="str">
        <f>IF(T141=ROUND(SUMIFS(ACOAETME2022[[#All],[Count of Members with Claims Truncated]], ACOAETME2022[[#All],[Insurance Category Code]],5,ACOAETME2022[[#All],[ACO/AE or Insurer Overall Organization ID]],Q141),2), "TRUE", ROUND(T141-SUMIFS(ACOAETME2022[[#All],[Count of Members with Claims Truncated]], ACOAETME2022[[#All],[Insurance Category Code]],5, ACOAETME2022[[#All],[ACO/AE or Insurer Overall Organization ID]],Q141),2))</f>
        <v>TRUE</v>
      </c>
      <c r="Z141" s="6" t="str">
        <f>IF(U141=ROUND(SUMIFS(ACOAETME2022[[#All],[TOTAL Non-Truncated Unadjusted Claims Expenses]], ACOAETME2022[[#All],[Insurance Category Code]],5, ACOAETME2022[[#All],[ACO/AE or Insurer Overall Organization ID]],Q141),2), "TRUE", ROUND(U141-SUMIFS(ACOAETME2022[[#All],[TOTAL Non-Truncated Unadjusted Claims Expenses]], ACOAETME2022[[#All],[Insurance Category Code]],5, ACOAETME2022[[#All],[ACO/AE or Insurer Overall Organization ID]],Q141),2))</f>
        <v>TRUE</v>
      </c>
      <c r="AA141" s="6" t="str">
        <f>IF(V141=ROUND(SUMIFS(ACOAETME2022[[#All],[TOTAL Truncated Unadjusted Claims Expenses (A19 - A17)]], ACOAETME2022[[#All],[Insurance Category Code]],5, ACOAETME2022[[#All],[ACO/AE or Insurer Overall Organization ID]],Q141),2), "TRUE", ROUND(V141-SUMIFS(ACOAETME2022[[#All],[TOTAL Truncated Unadjusted Claims Expenses (A19 - A17)]], ACOAETME2022[[#All],[Insurance Category Code]],5, ACOAETME2022[[#All],[ACO/AE or Insurer Overall Organization ID]],Q141),2))</f>
        <v>TRUE</v>
      </c>
      <c r="AB141" s="6" t="str">
        <f t="shared" si="30"/>
        <v>TRUE</v>
      </c>
      <c r="AC141" s="6" t="b">
        <f>ROUND(SUMIFS(ACOAETME2022[[#All],[TOTAL Non-Truncated Unadjusted Claims Expenses]], ACOAETME2022[[#All],[Insurance Category Code]],5, ACOAETME2022[[#All],[ACO/AE or Insurer Overall Organization ID]],Q141), 2)&gt;=ROUND(SUMIFS(ACOAETME2022[[#All],[TOTAL Truncated Unadjusted Claims Expenses (A19 - A17)]], ACOAETME2022[[#All],[Insurance Category Code]],5, ACOAETME2022[[#All],[ACO/AE or Insurer Overall Organization ID]],Q141),2)</f>
        <v>1</v>
      </c>
      <c r="AD141" s="6" t="b">
        <f>ROUND(SUMIFS(ACOAETME2022[[#All],[TOTAL Truncated Unadjusted Claims Expenses (A19 - A17)]], ACOAETME2022[[#All],[Insurance Category Code]],5, ACOAETME2022[[#All],[ACO/AE or Insurer Overall Organization ID]],Q141)+SUMIFS(ACOAETME2022[[#All],[Total Claims Excluded because of Truncation]], ACOAETME2022[[#All],[Insurance Category Code]],5, ACOAETME2022[[#All],[ACO/AE or Insurer Overall Organization ID]],Q141),2)=ROUND(SUMIFS(ACOAETME2022[[#All],[TOTAL Non-Truncated Unadjusted Claims Expenses]], ACOAETME2022[[#All],[Insurance Category Code]],5, ACOAETME2022[[#All],[ACO/AE or Insurer Overall Organization ID]],Q141), 2)</f>
        <v>1</v>
      </c>
      <c r="AG141" s="454" t="str">
        <f t="shared" si="31"/>
        <v>NA</v>
      </c>
    </row>
    <row r="142" spans="2:33" x14ac:dyDescent="0.35">
      <c r="B142" s="115">
        <v>106</v>
      </c>
      <c r="C142" s="192">
        <f>ROUND(SUMIFS(AgeSex21[[#All],[Total Member Months by Age/Sex Band]], AgeSex21[[#All],[ACO/AE ID or Insurer Overall]], $B142, AgeSex21[[#All], [Insurance Category Code]],5), 2)</f>
        <v>0</v>
      </c>
      <c r="D142" s="452">
        <f>ROUND(SUMIFS(AgeSex21[[#All],[Total Dollars Excluded from Spending After Applying Truncation at the Member Level]], AgeSex21[[#All],[ACO/AE ID or Insurer Overall]], $B142, AgeSex21[[#All], [Insurance Category Code]],5), 2)</f>
        <v>0</v>
      </c>
      <c r="E142" s="6">
        <f>ROUND(SUMIFS(AgeSex21[[#All],[Count of Members Whose Spending was Truncated]], AgeSex21[[#All],[ACO/AE ID or Insurer Overall]], $B142, AgeSex21[[#All], [Insurance Category Code]],5), 2)</f>
        <v>0</v>
      </c>
      <c r="F142" s="452">
        <f>ROUND(SUMIFS(AgeSex21[[#All],[Total Spending before Truncation is Applied]], AgeSex21[[#All],[ACO/AE ID or Insurer Overall]], $B142, AgeSex21[[#All], [Insurance Category Code]],5), 2)</f>
        <v>0</v>
      </c>
      <c r="G142" s="452">
        <f>ROUND(SUMIFS(AgeSex21[[#All],[Total Spending After Applying Truncation at the Member Level]], AgeSex21[[#All],[ACO/AE ID or Insurer Overall]], $B142, AgeSex21[[#All], [Insurance Category Code]],5), 2)</f>
        <v>0</v>
      </c>
      <c r="H142" s="457" t="str">
        <f>IF(C142=ROUND(SUMIFS(ACOAETME2021[[#All],[Member Months]], ACOAETME2021[[#All],[Insurance Category Code]],5, ACOAETME2021[[#All],[ACO/AE or Insurer Overall Organization ID]],B142),2), "TRUE", ROUND(C142-SUMIFS(ACOAETME2021[[#All],[Member Months]], ACOAETME2021[[#All],[Insurance Category Code]],5, ACOAETME2021[[#All],[ACO/AE or Insurer Overall Organization ID]],B142),2))</f>
        <v>TRUE</v>
      </c>
      <c r="I142" s="6" t="str">
        <f>IF(D142=ROUND(SUMIFS(ACOAETME2021[[#All],[Total Claims Excluded because of Truncation]], ACOAETME2021[[#All],[Insurance Category Code]],5, ACOAETME2021[[#All],[ACO/AE or Insurer Overall Organization ID]],B142),2), "TRUE", ROUND(D142-SUMIFS(ACOAETME2021[[#All],[Total Claims Excluded because of Truncation]], ACOAETME2021[[#All],[Insurance Category Code]],5, ACOAETME2021[[#All],[ACO/AE or Insurer Overall Organization ID]],B142),2))</f>
        <v>TRUE</v>
      </c>
      <c r="J142" s="6" t="str">
        <f>IF(E142=ROUND(SUMIFS(ACOAETME2021[[#All],[Count of Members with Claims Truncated]], ACOAETME2021[[#All],[Insurance Category Code]],5,ACOAETME2021[[#All],[ACO/AE or Insurer Overall Organization ID]],B142),2), "TRUE", ROUND(E142-SUMIFS(ACOAETME2021[[#All],[Count of Members with Claims Truncated]], ACOAETME2021[[#All],[Insurance Category Code]],5, ACOAETME2021[[#All],[ACO/AE or Insurer Overall Organization ID]],B142),2))</f>
        <v>TRUE</v>
      </c>
      <c r="K142" s="6" t="str">
        <f>IF(F142=ROUND(SUMIFS(ACOAETME2021[[#All],[TOTAL Non-Truncated Unadjusted Claims Expenses]], ACOAETME2021[[#All],[Insurance Category Code]],5, ACOAETME2021[[#All],[ACO/AE or Insurer Overall Organization ID]],B142),2), "TRUE", ROUND(F142-SUMIFS(ACOAETME2021[[#All],[TOTAL Non-Truncated Unadjusted Claims Expenses]], ACOAETME2021[[#All],[Insurance Category Code]],5, ACOAETME2021[[#All],[ACO/AE or Insurer Overall Organization ID]],B142),2))</f>
        <v>TRUE</v>
      </c>
      <c r="L142" s="6" t="str">
        <f>IF(G142=ROUND(SUMIFS(ACOAETME2021[[#All],[TOTAL Truncated Unadjusted Claims Expenses (A19 - A17)]], ACOAETME2021[[#All],[Insurance Category Code]],5, ACOAETME2021[[#All],[ACO/AE or Insurer Overall Organization ID]],B142),2), "TRUE", ROUND(G142-SUMIFS(ACOAETME2021[[#All],[TOTAL Truncated Unadjusted Claims Expenses (A19 - A17)]], ACOAETME2021[[#All],[Insurance Category Code]],5, ACOAETME2021[[#All],[ACO/AE or Insurer Overall Organization ID]],B142),2))</f>
        <v>TRUE</v>
      </c>
      <c r="M142" s="6" t="str">
        <f t="shared" si="32"/>
        <v>TRUE</v>
      </c>
      <c r="N142" s="6" t="b">
        <f>ROUND(SUMIFS(ACOAETME2021[[#All],[TOTAL Non-Truncated Unadjusted Claims Expenses]], ACOAETME2021[[#All],[Insurance Category Code]],5, ACOAETME2021[[#All],[ACO/AE or Insurer Overall Organization ID]],B142), 2)&gt;=ROUND(SUMIFS(ACOAETME2021[[#All],[TOTAL Truncated Unadjusted Claims Expenses (A19 - A17)]], ACOAETME2021[[#All],[Insurance Category Code]],5, ACOAETME2021[[#All],[ACO/AE or Insurer Overall Organization ID]],B142),2)</f>
        <v>1</v>
      </c>
      <c r="O142" s="6" t="b">
        <f>ROUND(SUMIFS(ACOAETME2021[[#All],[TOTAL Truncated Unadjusted Claims Expenses (A19 - A17)]], ACOAETME2021[[#All],[Insurance Category Code]],5, ACOAETME2021[[#All],[ACO/AE or Insurer Overall Organization ID]],B142)+SUMIFS(ACOAETME2021[[#All],[Total Claims Excluded because of Truncation]], ACOAETME2021[[#All],[Insurance Category Code]],5, ACOAETME2021[[#All],[ACO/AE or Insurer Overall Organization ID]],B142),2)=ROUND(SUMIFS(ACOAETME2021[[#All],[TOTAL Non-Truncated Unadjusted Claims Expenses]], ACOAETME2021[[#All],[Insurance Category Code]],5, ACOAETME2021[[#All],[ACO/AE or Insurer Overall Organization ID]],B142), 2)</f>
        <v>1</v>
      </c>
      <c r="Q142" s="115">
        <v>106</v>
      </c>
      <c r="R142" s="192">
        <f>ROUND(SUMIFS(AgeSex22[[#All],[Total Member Months by Age/Sex Band]], AgeSex22[[#All],[ACO/AE ID or Insurer Overall]], $B142, AgeSex22[[#All], [Insurance Category Code]],5), 2)</f>
        <v>0</v>
      </c>
      <c r="S142" s="452">
        <f>ROUND(SUMIFS(AgeSex22[[#All],[Total Dollars Excluded from Spending After Applying Truncation at the Member Level]], AgeSex22[[#All],[ACO/AE ID or Insurer Overall]], $B142, AgeSex22[[#All], [Insurance Category Code]],5), 2)</f>
        <v>0</v>
      </c>
      <c r="T142" s="6">
        <f>ROUND(SUMIFS(AgeSex22[[#All],[Count of Members Whose Spending was Truncated]], AgeSex22[[#All],[ACO/AE ID or Insurer Overall]], $B142, AgeSex22[[#All], [Insurance Category Code]],5), 2)</f>
        <v>0</v>
      </c>
      <c r="U142" s="452">
        <f>ROUND(SUMIFS(AgeSex22[[#All],[Total Spending before Truncation is Applied]], AgeSex22[[#All],[ACO/AE ID or Insurer Overall]], $B142, AgeSex22[[#All], [Insurance Category Code]],5), 2)</f>
        <v>0</v>
      </c>
      <c r="V142" s="452">
        <f>ROUND(SUMIFS(AgeSex22[[#All],[Total Spending After Applying Truncation at the Member Level]], AgeSex22[[#All],[ACO/AE ID or Insurer Overall]], $B142, AgeSex22[[#All], [Insurance Category Code]],5), 2)</f>
        <v>0</v>
      </c>
      <c r="W142" s="457" t="str">
        <f>IF(R142=ROUND(SUMIFS(ACOAETME2022[[#All],[Member Months]], ACOAETME2022[[#All],[Insurance Category Code]],5, ACOAETME2022[[#All],[ACO/AE or Insurer Overall Organization ID]],Q142),2), "TRUE", ROUND(R142-SUMIFS(ACOAETME2022[[#All],[Member Months]], ACOAETME2022[[#All],[Insurance Category Code]],5, ACOAETME2022[[#All],[ACO/AE or Insurer Overall Organization ID]],Q142),2))</f>
        <v>TRUE</v>
      </c>
      <c r="X142" s="6" t="str">
        <f>IF(S142=ROUND(SUMIFS(ACOAETME2022[[#All],[Total Claims Excluded because of Truncation]], ACOAETME2022[[#All],[Insurance Category Code]],5, ACOAETME2022[[#All],[ACO/AE or Insurer Overall Organization ID]],Q142),2), "TRUE", ROUND(S142-SUMIFS(ACOAETME2022[[#All],[Total Claims Excluded because of Truncation]], ACOAETME2022[[#All],[Insurance Category Code]],5, ACOAETME2022[[#All],[ACO/AE or Insurer Overall Organization ID]],Q142),2))</f>
        <v>TRUE</v>
      </c>
      <c r="Y142" s="6" t="str">
        <f>IF(T142=ROUND(SUMIFS(ACOAETME2022[[#All],[Count of Members with Claims Truncated]], ACOAETME2022[[#All],[Insurance Category Code]],5,ACOAETME2022[[#All],[ACO/AE or Insurer Overall Organization ID]],Q142),2), "TRUE", ROUND(T142-SUMIFS(ACOAETME2022[[#All],[Count of Members with Claims Truncated]], ACOAETME2022[[#All],[Insurance Category Code]],5, ACOAETME2022[[#All],[ACO/AE or Insurer Overall Organization ID]],Q142),2))</f>
        <v>TRUE</v>
      </c>
      <c r="Z142" s="6" t="str">
        <f>IF(U142=ROUND(SUMIFS(ACOAETME2022[[#All],[TOTAL Non-Truncated Unadjusted Claims Expenses]], ACOAETME2022[[#All],[Insurance Category Code]],5, ACOAETME2022[[#All],[ACO/AE or Insurer Overall Organization ID]],Q142),2), "TRUE", ROUND(U142-SUMIFS(ACOAETME2022[[#All],[TOTAL Non-Truncated Unadjusted Claims Expenses]], ACOAETME2022[[#All],[Insurance Category Code]],5, ACOAETME2022[[#All],[ACO/AE or Insurer Overall Organization ID]],Q142),2))</f>
        <v>TRUE</v>
      </c>
      <c r="AA142" s="6" t="str">
        <f>IF(V142=ROUND(SUMIFS(ACOAETME2022[[#All],[TOTAL Truncated Unadjusted Claims Expenses (A19 - A17)]], ACOAETME2022[[#All],[Insurance Category Code]],5, ACOAETME2022[[#All],[ACO/AE or Insurer Overall Organization ID]],Q142),2), "TRUE", ROUND(V142-SUMIFS(ACOAETME2022[[#All],[TOTAL Truncated Unadjusted Claims Expenses (A19 - A17)]], ACOAETME2022[[#All],[Insurance Category Code]],5, ACOAETME2022[[#All],[ACO/AE or Insurer Overall Organization ID]],Q142),2))</f>
        <v>TRUE</v>
      </c>
      <c r="AB142" s="6" t="str">
        <f t="shared" si="30"/>
        <v>TRUE</v>
      </c>
      <c r="AC142" s="6" t="b">
        <f>ROUND(SUMIFS(ACOAETME2022[[#All],[TOTAL Non-Truncated Unadjusted Claims Expenses]], ACOAETME2022[[#All],[Insurance Category Code]],5, ACOAETME2022[[#All],[ACO/AE or Insurer Overall Organization ID]],Q142), 2)&gt;=ROUND(SUMIFS(ACOAETME2022[[#All],[TOTAL Truncated Unadjusted Claims Expenses (A19 - A17)]], ACOAETME2022[[#All],[Insurance Category Code]],5, ACOAETME2022[[#All],[ACO/AE or Insurer Overall Organization ID]],Q142),2)</f>
        <v>1</v>
      </c>
      <c r="AD142" s="6" t="b">
        <f>ROUND(SUMIFS(ACOAETME2022[[#All],[TOTAL Truncated Unadjusted Claims Expenses (A19 - A17)]], ACOAETME2022[[#All],[Insurance Category Code]],5, ACOAETME2022[[#All],[ACO/AE or Insurer Overall Organization ID]],Q142)+SUMIFS(ACOAETME2022[[#All],[Total Claims Excluded because of Truncation]], ACOAETME2022[[#All],[Insurance Category Code]],5, ACOAETME2022[[#All],[ACO/AE or Insurer Overall Organization ID]],Q142),2)=ROUND(SUMIFS(ACOAETME2022[[#All],[TOTAL Non-Truncated Unadjusted Claims Expenses]], ACOAETME2022[[#All],[Insurance Category Code]],5, ACOAETME2022[[#All],[ACO/AE or Insurer Overall Organization ID]],Q142), 2)</f>
        <v>1</v>
      </c>
      <c r="AG142" s="454" t="str">
        <f t="shared" si="31"/>
        <v>NA</v>
      </c>
    </row>
    <row r="143" spans="2:33" x14ac:dyDescent="0.35">
      <c r="B143" s="115">
        <v>107</v>
      </c>
      <c r="C143" s="192">
        <f>ROUND(SUMIFS(AgeSex21[[#All],[Total Member Months by Age/Sex Band]], AgeSex21[[#All],[ACO/AE ID or Insurer Overall]], $B143, AgeSex21[[#All], [Insurance Category Code]],5), 2)</f>
        <v>0</v>
      </c>
      <c r="D143" s="452">
        <f>ROUND(SUMIFS(AgeSex21[[#All],[Total Dollars Excluded from Spending After Applying Truncation at the Member Level]], AgeSex21[[#All],[ACO/AE ID or Insurer Overall]], $B143, AgeSex21[[#All], [Insurance Category Code]],5), 2)</f>
        <v>0</v>
      </c>
      <c r="E143" s="6">
        <f>ROUND(SUMIFS(AgeSex21[[#All],[Count of Members Whose Spending was Truncated]], AgeSex21[[#All],[ACO/AE ID or Insurer Overall]], $B143, AgeSex21[[#All], [Insurance Category Code]],5), 2)</f>
        <v>0</v>
      </c>
      <c r="F143" s="452">
        <f>ROUND(SUMIFS(AgeSex21[[#All],[Total Spending before Truncation is Applied]], AgeSex21[[#All],[ACO/AE ID or Insurer Overall]], $B143, AgeSex21[[#All], [Insurance Category Code]],5), 2)</f>
        <v>0</v>
      </c>
      <c r="G143" s="452">
        <f>ROUND(SUMIFS(AgeSex21[[#All],[Total Spending After Applying Truncation at the Member Level]], AgeSex21[[#All],[ACO/AE ID or Insurer Overall]], $B143, AgeSex21[[#All], [Insurance Category Code]],5), 2)</f>
        <v>0</v>
      </c>
      <c r="H143" s="457" t="str">
        <f>IF(C143=ROUND(SUMIFS(ACOAETME2021[[#All],[Member Months]], ACOAETME2021[[#All],[Insurance Category Code]],5, ACOAETME2021[[#All],[ACO/AE or Insurer Overall Organization ID]],B143),2), "TRUE", ROUND(C143-SUMIFS(ACOAETME2021[[#All],[Member Months]], ACOAETME2021[[#All],[Insurance Category Code]],5, ACOAETME2021[[#All],[ACO/AE or Insurer Overall Organization ID]],B143),2))</f>
        <v>TRUE</v>
      </c>
      <c r="I143" s="6" t="str">
        <f>IF(D143=ROUND(SUMIFS(ACOAETME2021[[#All],[Total Claims Excluded because of Truncation]], ACOAETME2021[[#All],[Insurance Category Code]],5, ACOAETME2021[[#All],[ACO/AE or Insurer Overall Organization ID]],B143),2), "TRUE", ROUND(D143-SUMIFS(ACOAETME2021[[#All],[Total Claims Excluded because of Truncation]], ACOAETME2021[[#All],[Insurance Category Code]],5, ACOAETME2021[[#All],[ACO/AE or Insurer Overall Organization ID]],B143),2))</f>
        <v>TRUE</v>
      </c>
      <c r="J143" s="6" t="str">
        <f>IF(E143=ROUND(SUMIFS(ACOAETME2021[[#All],[Count of Members with Claims Truncated]], ACOAETME2021[[#All],[Insurance Category Code]],5,ACOAETME2021[[#All],[ACO/AE or Insurer Overall Organization ID]],B143),2), "TRUE", ROUND(E143-SUMIFS(ACOAETME2021[[#All],[Count of Members with Claims Truncated]], ACOAETME2021[[#All],[Insurance Category Code]],5, ACOAETME2021[[#All],[ACO/AE or Insurer Overall Organization ID]],B143),2))</f>
        <v>TRUE</v>
      </c>
      <c r="K143" s="6" t="str">
        <f>IF(F143=ROUND(SUMIFS(ACOAETME2021[[#All],[TOTAL Non-Truncated Unadjusted Claims Expenses]], ACOAETME2021[[#All],[Insurance Category Code]],5, ACOAETME2021[[#All],[ACO/AE or Insurer Overall Organization ID]],B143),2), "TRUE", ROUND(F143-SUMIFS(ACOAETME2021[[#All],[TOTAL Non-Truncated Unadjusted Claims Expenses]], ACOAETME2021[[#All],[Insurance Category Code]],5, ACOAETME2021[[#All],[ACO/AE or Insurer Overall Organization ID]],B143),2))</f>
        <v>TRUE</v>
      </c>
      <c r="L143" s="6" t="str">
        <f>IF(G143=ROUND(SUMIFS(ACOAETME2021[[#All],[TOTAL Truncated Unadjusted Claims Expenses (A19 - A17)]], ACOAETME2021[[#All],[Insurance Category Code]],5, ACOAETME2021[[#All],[ACO/AE or Insurer Overall Organization ID]],B143),2), "TRUE", ROUND(G143-SUMIFS(ACOAETME2021[[#All],[TOTAL Truncated Unadjusted Claims Expenses (A19 - A17)]], ACOAETME2021[[#All],[Insurance Category Code]],5, ACOAETME2021[[#All],[ACO/AE or Insurer Overall Organization ID]],B143),2))</f>
        <v>TRUE</v>
      </c>
      <c r="M143" s="6" t="str">
        <f t="shared" si="32"/>
        <v>TRUE</v>
      </c>
      <c r="N143" s="6" t="b">
        <f>ROUND(SUMIFS(ACOAETME2021[[#All],[TOTAL Non-Truncated Unadjusted Claims Expenses]], ACOAETME2021[[#All],[Insurance Category Code]],5, ACOAETME2021[[#All],[ACO/AE or Insurer Overall Organization ID]],B143), 2)&gt;=ROUND(SUMIFS(ACOAETME2021[[#All],[TOTAL Truncated Unadjusted Claims Expenses (A19 - A17)]], ACOAETME2021[[#All],[Insurance Category Code]],5, ACOAETME2021[[#All],[ACO/AE or Insurer Overall Organization ID]],B143),2)</f>
        <v>1</v>
      </c>
      <c r="O143" s="6" t="b">
        <f>ROUND(SUMIFS(ACOAETME2021[[#All],[TOTAL Truncated Unadjusted Claims Expenses (A19 - A17)]], ACOAETME2021[[#All],[Insurance Category Code]],5, ACOAETME2021[[#All],[ACO/AE or Insurer Overall Organization ID]],B143)+SUMIFS(ACOAETME2021[[#All],[Total Claims Excluded because of Truncation]], ACOAETME2021[[#All],[Insurance Category Code]],5, ACOAETME2021[[#All],[ACO/AE or Insurer Overall Organization ID]],B143),2)=ROUND(SUMIFS(ACOAETME2021[[#All],[TOTAL Non-Truncated Unadjusted Claims Expenses]], ACOAETME2021[[#All],[Insurance Category Code]],5, ACOAETME2021[[#All],[ACO/AE or Insurer Overall Organization ID]],B143), 2)</f>
        <v>1</v>
      </c>
      <c r="Q143" s="115">
        <v>107</v>
      </c>
      <c r="R143" s="192">
        <f>ROUND(SUMIFS(AgeSex22[[#All],[Total Member Months by Age/Sex Band]], AgeSex22[[#All],[ACO/AE ID or Insurer Overall]], $B143, AgeSex22[[#All], [Insurance Category Code]],5), 2)</f>
        <v>0</v>
      </c>
      <c r="S143" s="452">
        <f>ROUND(SUMIFS(AgeSex22[[#All],[Total Dollars Excluded from Spending After Applying Truncation at the Member Level]], AgeSex22[[#All],[ACO/AE ID or Insurer Overall]], $B143, AgeSex22[[#All], [Insurance Category Code]],5), 2)</f>
        <v>0</v>
      </c>
      <c r="T143" s="6">
        <f>ROUND(SUMIFS(AgeSex22[[#All],[Count of Members Whose Spending was Truncated]], AgeSex22[[#All],[ACO/AE ID or Insurer Overall]], $B143, AgeSex22[[#All], [Insurance Category Code]],5), 2)</f>
        <v>0</v>
      </c>
      <c r="U143" s="452">
        <f>ROUND(SUMIFS(AgeSex22[[#All],[Total Spending before Truncation is Applied]], AgeSex22[[#All],[ACO/AE ID or Insurer Overall]], $B143, AgeSex22[[#All], [Insurance Category Code]],5), 2)</f>
        <v>0</v>
      </c>
      <c r="V143" s="452">
        <f>ROUND(SUMIFS(AgeSex22[[#All],[Total Spending After Applying Truncation at the Member Level]], AgeSex22[[#All],[ACO/AE ID or Insurer Overall]], $B143, AgeSex22[[#All], [Insurance Category Code]],5), 2)</f>
        <v>0</v>
      </c>
      <c r="W143" s="457" t="str">
        <f>IF(R143=ROUND(SUMIFS(ACOAETME2022[[#All],[Member Months]], ACOAETME2022[[#All],[Insurance Category Code]],5, ACOAETME2022[[#All],[ACO/AE or Insurer Overall Organization ID]],Q143),2), "TRUE", ROUND(R143-SUMIFS(ACOAETME2022[[#All],[Member Months]], ACOAETME2022[[#All],[Insurance Category Code]],5, ACOAETME2022[[#All],[ACO/AE or Insurer Overall Organization ID]],Q143),2))</f>
        <v>TRUE</v>
      </c>
      <c r="X143" s="6" t="str">
        <f>IF(S143=ROUND(SUMIFS(ACOAETME2022[[#All],[Total Claims Excluded because of Truncation]], ACOAETME2022[[#All],[Insurance Category Code]],5, ACOAETME2022[[#All],[ACO/AE or Insurer Overall Organization ID]],Q143),2), "TRUE", ROUND(S143-SUMIFS(ACOAETME2022[[#All],[Total Claims Excluded because of Truncation]], ACOAETME2022[[#All],[Insurance Category Code]],5, ACOAETME2022[[#All],[ACO/AE or Insurer Overall Organization ID]],Q143),2))</f>
        <v>TRUE</v>
      </c>
      <c r="Y143" s="6" t="str">
        <f>IF(T143=ROUND(SUMIFS(ACOAETME2022[[#All],[Count of Members with Claims Truncated]], ACOAETME2022[[#All],[Insurance Category Code]],5,ACOAETME2022[[#All],[ACO/AE or Insurer Overall Organization ID]],Q143),2), "TRUE", ROUND(T143-SUMIFS(ACOAETME2022[[#All],[Count of Members with Claims Truncated]], ACOAETME2022[[#All],[Insurance Category Code]],5, ACOAETME2022[[#All],[ACO/AE or Insurer Overall Organization ID]],Q143),2))</f>
        <v>TRUE</v>
      </c>
      <c r="Z143" s="6" t="str">
        <f>IF(U143=ROUND(SUMIFS(ACOAETME2022[[#All],[TOTAL Non-Truncated Unadjusted Claims Expenses]], ACOAETME2022[[#All],[Insurance Category Code]],5, ACOAETME2022[[#All],[ACO/AE or Insurer Overall Organization ID]],Q143),2), "TRUE", ROUND(U143-SUMIFS(ACOAETME2022[[#All],[TOTAL Non-Truncated Unadjusted Claims Expenses]], ACOAETME2022[[#All],[Insurance Category Code]],5, ACOAETME2022[[#All],[ACO/AE or Insurer Overall Organization ID]],Q143),2))</f>
        <v>TRUE</v>
      </c>
      <c r="AA143" s="6" t="str">
        <f>IF(V143=ROUND(SUMIFS(ACOAETME2022[[#All],[TOTAL Truncated Unadjusted Claims Expenses (A19 - A17)]], ACOAETME2022[[#All],[Insurance Category Code]],5, ACOAETME2022[[#All],[ACO/AE or Insurer Overall Organization ID]],Q143),2), "TRUE", ROUND(V143-SUMIFS(ACOAETME2022[[#All],[TOTAL Truncated Unadjusted Claims Expenses (A19 - A17)]], ACOAETME2022[[#All],[Insurance Category Code]],5, ACOAETME2022[[#All],[ACO/AE or Insurer Overall Organization ID]],Q143),2))</f>
        <v>TRUE</v>
      </c>
      <c r="AB143" s="6" t="str">
        <f t="shared" si="30"/>
        <v>TRUE</v>
      </c>
      <c r="AC143" s="6" t="b">
        <f>ROUND(SUMIFS(ACOAETME2022[[#All],[TOTAL Non-Truncated Unadjusted Claims Expenses]], ACOAETME2022[[#All],[Insurance Category Code]],5, ACOAETME2022[[#All],[ACO/AE or Insurer Overall Organization ID]],Q143), 2)&gt;=ROUND(SUMIFS(ACOAETME2022[[#All],[TOTAL Truncated Unadjusted Claims Expenses (A19 - A17)]], ACOAETME2022[[#All],[Insurance Category Code]],5, ACOAETME2022[[#All],[ACO/AE or Insurer Overall Organization ID]],Q143),2)</f>
        <v>1</v>
      </c>
      <c r="AD143" s="6" t="b">
        <f>ROUND(SUMIFS(ACOAETME2022[[#All],[TOTAL Truncated Unadjusted Claims Expenses (A19 - A17)]], ACOAETME2022[[#All],[Insurance Category Code]],5, ACOAETME2022[[#All],[ACO/AE or Insurer Overall Organization ID]],Q143)+SUMIFS(ACOAETME2022[[#All],[Total Claims Excluded because of Truncation]], ACOAETME2022[[#All],[Insurance Category Code]],5, ACOAETME2022[[#All],[ACO/AE or Insurer Overall Organization ID]],Q143),2)=ROUND(SUMIFS(ACOAETME2022[[#All],[TOTAL Non-Truncated Unadjusted Claims Expenses]], ACOAETME2022[[#All],[Insurance Category Code]],5, ACOAETME2022[[#All],[ACO/AE or Insurer Overall Organization ID]],Q143), 2)</f>
        <v>1</v>
      </c>
      <c r="AG143" s="454" t="str">
        <f t="shared" si="31"/>
        <v>NA</v>
      </c>
    </row>
    <row r="144" spans="2:33" x14ac:dyDescent="0.35">
      <c r="B144" s="115">
        <v>108</v>
      </c>
      <c r="C144" s="192">
        <f>ROUND(SUMIFS(AgeSex21[[#All],[Total Member Months by Age/Sex Band]], AgeSex21[[#All],[ACO/AE ID or Insurer Overall]], $B144, AgeSex21[[#All], [Insurance Category Code]],5), 2)</f>
        <v>0</v>
      </c>
      <c r="D144" s="452">
        <f>ROUND(SUMIFS(AgeSex21[[#All],[Total Dollars Excluded from Spending After Applying Truncation at the Member Level]], AgeSex21[[#All],[ACO/AE ID or Insurer Overall]], $B144, AgeSex21[[#All], [Insurance Category Code]],5), 2)</f>
        <v>0</v>
      </c>
      <c r="E144" s="6">
        <f>ROUND(SUMIFS(AgeSex21[[#All],[Count of Members Whose Spending was Truncated]], AgeSex21[[#All],[ACO/AE ID or Insurer Overall]], $B144, AgeSex21[[#All], [Insurance Category Code]],5), 2)</f>
        <v>0</v>
      </c>
      <c r="F144" s="452">
        <f>ROUND(SUMIFS(AgeSex21[[#All],[Total Spending before Truncation is Applied]], AgeSex21[[#All],[ACO/AE ID or Insurer Overall]], $B144, AgeSex21[[#All], [Insurance Category Code]],5), 2)</f>
        <v>0</v>
      </c>
      <c r="G144" s="452">
        <f>ROUND(SUMIFS(AgeSex21[[#All],[Total Spending After Applying Truncation at the Member Level]], AgeSex21[[#All],[ACO/AE ID or Insurer Overall]], $B144, AgeSex21[[#All], [Insurance Category Code]],5), 2)</f>
        <v>0</v>
      </c>
      <c r="H144" s="457" t="str">
        <f>IF(C144=ROUND(SUMIFS(ACOAETME2021[[#All],[Member Months]], ACOAETME2021[[#All],[Insurance Category Code]],5, ACOAETME2021[[#All],[ACO/AE or Insurer Overall Organization ID]],B144),2), "TRUE", ROUND(C144-SUMIFS(ACOAETME2021[[#All],[Member Months]], ACOAETME2021[[#All],[Insurance Category Code]],5, ACOAETME2021[[#All],[ACO/AE or Insurer Overall Organization ID]],B144),2))</f>
        <v>TRUE</v>
      </c>
      <c r="I144" s="6" t="str">
        <f>IF(D144=ROUND(SUMIFS(ACOAETME2021[[#All],[Total Claims Excluded because of Truncation]], ACOAETME2021[[#All],[Insurance Category Code]],5, ACOAETME2021[[#All],[ACO/AE or Insurer Overall Organization ID]],B144),2), "TRUE", ROUND(D144-SUMIFS(ACOAETME2021[[#All],[Total Claims Excluded because of Truncation]], ACOAETME2021[[#All],[Insurance Category Code]],5, ACOAETME2021[[#All],[ACO/AE or Insurer Overall Organization ID]],B144),2))</f>
        <v>TRUE</v>
      </c>
      <c r="J144" s="6" t="str">
        <f>IF(E144=ROUND(SUMIFS(ACOAETME2021[[#All],[Count of Members with Claims Truncated]], ACOAETME2021[[#All],[Insurance Category Code]],5,ACOAETME2021[[#All],[ACO/AE or Insurer Overall Organization ID]],B144),2), "TRUE", ROUND(E144-SUMIFS(ACOAETME2021[[#All],[Count of Members with Claims Truncated]], ACOAETME2021[[#All],[Insurance Category Code]],5, ACOAETME2021[[#All],[ACO/AE or Insurer Overall Organization ID]],B144),2))</f>
        <v>TRUE</v>
      </c>
      <c r="K144" s="6" t="str">
        <f>IF(F144=ROUND(SUMIFS(ACOAETME2021[[#All],[TOTAL Non-Truncated Unadjusted Claims Expenses]], ACOAETME2021[[#All],[Insurance Category Code]],5, ACOAETME2021[[#All],[ACO/AE or Insurer Overall Organization ID]],B144),2), "TRUE", ROUND(F144-SUMIFS(ACOAETME2021[[#All],[TOTAL Non-Truncated Unadjusted Claims Expenses]], ACOAETME2021[[#All],[Insurance Category Code]],5, ACOAETME2021[[#All],[ACO/AE or Insurer Overall Organization ID]],B144),2))</f>
        <v>TRUE</v>
      </c>
      <c r="L144" s="6" t="str">
        <f>IF(G144=ROUND(SUMIFS(ACOAETME2021[[#All],[TOTAL Truncated Unadjusted Claims Expenses (A19 - A17)]], ACOAETME2021[[#All],[Insurance Category Code]],5, ACOAETME2021[[#All],[ACO/AE or Insurer Overall Organization ID]],B144),2), "TRUE", ROUND(G144-SUMIFS(ACOAETME2021[[#All],[TOTAL Truncated Unadjusted Claims Expenses (A19 - A17)]], ACOAETME2021[[#All],[Insurance Category Code]],5, ACOAETME2021[[#All],[ACO/AE or Insurer Overall Organization ID]],B144),2))</f>
        <v>TRUE</v>
      </c>
      <c r="M144" s="6" t="str">
        <f t="shared" si="32"/>
        <v>TRUE</v>
      </c>
      <c r="N144" s="6" t="b">
        <f>ROUND(SUMIFS(ACOAETME2021[[#All],[TOTAL Non-Truncated Unadjusted Claims Expenses]], ACOAETME2021[[#All],[Insurance Category Code]],5, ACOAETME2021[[#All],[ACO/AE or Insurer Overall Organization ID]],B144), 2)&gt;=ROUND(SUMIFS(ACOAETME2021[[#All],[TOTAL Truncated Unadjusted Claims Expenses (A19 - A17)]], ACOAETME2021[[#All],[Insurance Category Code]],5, ACOAETME2021[[#All],[ACO/AE or Insurer Overall Organization ID]],B144),2)</f>
        <v>1</v>
      </c>
      <c r="O144" s="6" t="b">
        <f>ROUND(SUMIFS(ACOAETME2021[[#All],[TOTAL Truncated Unadjusted Claims Expenses (A19 - A17)]], ACOAETME2021[[#All],[Insurance Category Code]],5, ACOAETME2021[[#All],[ACO/AE or Insurer Overall Organization ID]],B144)+SUMIFS(ACOAETME2021[[#All],[Total Claims Excluded because of Truncation]], ACOAETME2021[[#All],[Insurance Category Code]],5, ACOAETME2021[[#All],[ACO/AE or Insurer Overall Organization ID]],B144),2)=ROUND(SUMIFS(ACOAETME2021[[#All],[TOTAL Non-Truncated Unadjusted Claims Expenses]], ACOAETME2021[[#All],[Insurance Category Code]],5, ACOAETME2021[[#All],[ACO/AE or Insurer Overall Organization ID]],B144), 2)</f>
        <v>1</v>
      </c>
      <c r="Q144" s="115">
        <v>108</v>
      </c>
      <c r="R144" s="192">
        <f>ROUND(SUMIFS(AgeSex22[[#All],[Total Member Months by Age/Sex Band]], AgeSex22[[#All],[ACO/AE ID or Insurer Overall]], $B144, AgeSex22[[#All], [Insurance Category Code]],5), 2)</f>
        <v>0</v>
      </c>
      <c r="S144" s="452">
        <f>ROUND(SUMIFS(AgeSex22[[#All],[Total Dollars Excluded from Spending After Applying Truncation at the Member Level]], AgeSex22[[#All],[ACO/AE ID or Insurer Overall]], $B144, AgeSex22[[#All], [Insurance Category Code]],5), 2)</f>
        <v>0</v>
      </c>
      <c r="T144" s="6">
        <f>ROUND(SUMIFS(AgeSex22[[#All],[Count of Members Whose Spending was Truncated]], AgeSex22[[#All],[ACO/AE ID or Insurer Overall]], $B144, AgeSex22[[#All], [Insurance Category Code]],5), 2)</f>
        <v>0</v>
      </c>
      <c r="U144" s="452">
        <f>ROUND(SUMIFS(AgeSex22[[#All],[Total Spending before Truncation is Applied]], AgeSex22[[#All],[ACO/AE ID or Insurer Overall]], $B144, AgeSex22[[#All], [Insurance Category Code]],5), 2)</f>
        <v>0</v>
      </c>
      <c r="V144" s="452">
        <f>ROUND(SUMIFS(AgeSex22[[#All],[Total Spending After Applying Truncation at the Member Level]], AgeSex22[[#All],[ACO/AE ID or Insurer Overall]], $B144, AgeSex22[[#All], [Insurance Category Code]],5), 2)</f>
        <v>0</v>
      </c>
      <c r="W144" s="457" t="str">
        <f>IF(R144=ROUND(SUMIFS(ACOAETME2022[[#All],[Member Months]], ACOAETME2022[[#All],[Insurance Category Code]],5, ACOAETME2022[[#All],[ACO/AE or Insurer Overall Organization ID]],Q144),2), "TRUE", ROUND(R144-SUMIFS(ACOAETME2022[[#All],[Member Months]], ACOAETME2022[[#All],[Insurance Category Code]],5, ACOAETME2022[[#All],[ACO/AE or Insurer Overall Organization ID]],Q144),2))</f>
        <v>TRUE</v>
      </c>
      <c r="X144" s="6" t="str">
        <f>IF(S144=ROUND(SUMIFS(ACOAETME2022[[#All],[Total Claims Excluded because of Truncation]], ACOAETME2022[[#All],[Insurance Category Code]],5, ACOAETME2022[[#All],[ACO/AE or Insurer Overall Organization ID]],Q144),2), "TRUE", ROUND(S144-SUMIFS(ACOAETME2022[[#All],[Total Claims Excluded because of Truncation]], ACOAETME2022[[#All],[Insurance Category Code]],5, ACOAETME2022[[#All],[ACO/AE or Insurer Overall Organization ID]],Q144),2))</f>
        <v>TRUE</v>
      </c>
      <c r="Y144" s="6" t="str">
        <f>IF(T144=ROUND(SUMIFS(ACOAETME2022[[#All],[Count of Members with Claims Truncated]], ACOAETME2022[[#All],[Insurance Category Code]],5,ACOAETME2022[[#All],[ACO/AE or Insurer Overall Organization ID]],Q144),2), "TRUE", ROUND(T144-SUMIFS(ACOAETME2022[[#All],[Count of Members with Claims Truncated]], ACOAETME2022[[#All],[Insurance Category Code]],5, ACOAETME2022[[#All],[ACO/AE or Insurer Overall Organization ID]],Q144),2))</f>
        <v>TRUE</v>
      </c>
      <c r="Z144" s="6" t="str">
        <f>IF(U144=ROUND(SUMIFS(ACOAETME2022[[#All],[TOTAL Non-Truncated Unadjusted Claims Expenses]], ACOAETME2022[[#All],[Insurance Category Code]],5, ACOAETME2022[[#All],[ACO/AE or Insurer Overall Organization ID]],Q144),2), "TRUE", ROUND(U144-SUMIFS(ACOAETME2022[[#All],[TOTAL Non-Truncated Unadjusted Claims Expenses]], ACOAETME2022[[#All],[Insurance Category Code]],5, ACOAETME2022[[#All],[ACO/AE or Insurer Overall Organization ID]],Q144),2))</f>
        <v>TRUE</v>
      </c>
      <c r="AA144" s="6" t="str">
        <f>IF(V144=ROUND(SUMIFS(ACOAETME2022[[#All],[TOTAL Truncated Unadjusted Claims Expenses (A19 - A17)]], ACOAETME2022[[#All],[Insurance Category Code]],5, ACOAETME2022[[#All],[ACO/AE or Insurer Overall Organization ID]],Q144),2), "TRUE", ROUND(V144-SUMIFS(ACOAETME2022[[#All],[TOTAL Truncated Unadjusted Claims Expenses (A19 - A17)]], ACOAETME2022[[#All],[Insurance Category Code]],5, ACOAETME2022[[#All],[ACO/AE or Insurer Overall Organization ID]],Q144),2))</f>
        <v>TRUE</v>
      </c>
      <c r="AB144" s="6" t="str">
        <f t="shared" si="30"/>
        <v>TRUE</v>
      </c>
      <c r="AC144" s="6" t="b">
        <f>ROUND(SUMIFS(ACOAETME2022[[#All],[TOTAL Non-Truncated Unadjusted Claims Expenses]], ACOAETME2022[[#All],[Insurance Category Code]],5, ACOAETME2022[[#All],[ACO/AE or Insurer Overall Organization ID]],Q144), 2)&gt;=ROUND(SUMIFS(ACOAETME2022[[#All],[TOTAL Truncated Unadjusted Claims Expenses (A19 - A17)]], ACOAETME2022[[#All],[Insurance Category Code]],5, ACOAETME2022[[#All],[ACO/AE or Insurer Overall Organization ID]],Q144),2)</f>
        <v>1</v>
      </c>
      <c r="AD144" s="6" t="b">
        <f>ROUND(SUMIFS(ACOAETME2022[[#All],[TOTAL Truncated Unadjusted Claims Expenses (A19 - A17)]], ACOAETME2022[[#All],[Insurance Category Code]],5, ACOAETME2022[[#All],[ACO/AE or Insurer Overall Organization ID]],Q144)+SUMIFS(ACOAETME2022[[#All],[Total Claims Excluded because of Truncation]], ACOAETME2022[[#All],[Insurance Category Code]],5, ACOAETME2022[[#All],[ACO/AE or Insurer Overall Organization ID]],Q144),2)=ROUND(SUMIFS(ACOAETME2022[[#All],[TOTAL Non-Truncated Unadjusted Claims Expenses]], ACOAETME2022[[#All],[Insurance Category Code]],5, ACOAETME2022[[#All],[ACO/AE or Insurer Overall Organization ID]],Q144), 2)</f>
        <v>1</v>
      </c>
      <c r="AG144" s="454" t="str">
        <f t="shared" si="31"/>
        <v>NA</v>
      </c>
    </row>
    <row r="145" spans="2:33" x14ac:dyDescent="0.35">
      <c r="B145" s="7">
        <v>999</v>
      </c>
      <c r="C145" s="194">
        <f>ROUND(SUMIFS(AgeSex21[[#All],[Total Member Months by Age/Sex Band]], AgeSex21[[#All],[ACO/AE ID or Insurer Overall]], $B145, AgeSex21[[#All], [Insurance Category Code]],5), 2)</f>
        <v>0</v>
      </c>
      <c r="D145" s="452">
        <f>ROUND(SUMIFS(AgeSex21[[#All],[Total Dollars Excluded from Spending After Applying Truncation at the Member Level]], AgeSex21[[#All],[ACO/AE ID or Insurer Overall]], $B145, AgeSex21[[#All], [Insurance Category Code]],5), 2)</f>
        <v>0</v>
      </c>
      <c r="E145" s="6">
        <f>ROUND(SUMIFS(AgeSex21[[#All],[Count of Members Whose Spending was Truncated]], AgeSex21[[#All],[ACO/AE ID or Insurer Overall]], $B145, AgeSex21[[#All], [Insurance Category Code]],5), 2)</f>
        <v>0</v>
      </c>
      <c r="F145" s="452">
        <f>ROUND(SUMIFS(AgeSex21[[#All],[Total Spending before Truncation is Applied]], AgeSex21[[#All],[ACO/AE ID or Insurer Overall]], $B145, AgeSex21[[#All], [Insurance Category Code]],5), 2)</f>
        <v>0</v>
      </c>
      <c r="G145" s="452">
        <f>ROUND(SUMIFS(AgeSex21[[#All],[Total Spending After Applying Truncation at the Member Level]], AgeSex21[[#All],[ACO/AE ID or Insurer Overall]], $B145, AgeSex21[[#All], [Insurance Category Code]],5), 2)</f>
        <v>0</v>
      </c>
      <c r="H145" s="457" t="str">
        <f>IF(C145=ROUND(SUMIFS(ACOAETME2021[[#All],[Member Months]], ACOAETME2021[[#All],[Insurance Category Code]],5, ACOAETME2021[[#All],[ACO/AE or Insurer Overall Organization ID]],B145),2), "TRUE", ROUND(C145-SUMIFS(ACOAETME2021[[#All],[Member Months]], ACOAETME2021[[#All],[Insurance Category Code]],5, ACOAETME2021[[#All],[ACO/AE or Insurer Overall Organization ID]],B145),2))</f>
        <v>TRUE</v>
      </c>
      <c r="I145" s="6" t="str">
        <f>IF(D145=ROUND(SUMIFS(ACOAETME2021[[#All],[Total Claims Excluded because of Truncation]], ACOAETME2021[[#All],[Insurance Category Code]],5, ACOAETME2021[[#All],[ACO/AE or Insurer Overall Organization ID]],B145),2), "TRUE", ROUND(D145-SUMIFS(ACOAETME2021[[#All],[Total Claims Excluded because of Truncation]], ACOAETME2021[[#All],[Insurance Category Code]],5, ACOAETME2021[[#All],[ACO/AE or Insurer Overall Organization ID]],B145),2))</f>
        <v>TRUE</v>
      </c>
      <c r="J145" s="6" t="str">
        <f>IF(E145=ROUND(SUMIFS(ACOAETME2021[[#All],[Count of Members with Claims Truncated]], ACOAETME2021[[#All],[Insurance Category Code]],5,ACOAETME2021[[#All],[ACO/AE or Insurer Overall Organization ID]],B145),2), "TRUE", ROUND(E145-SUMIFS(ACOAETME2021[[#All],[Count of Members with Claims Truncated]], ACOAETME2021[[#All],[Insurance Category Code]],5, ACOAETME2021[[#All],[ACO/AE or Insurer Overall Organization ID]],B145),2))</f>
        <v>TRUE</v>
      </c>
      <c r="K145" s="6" t="str">
        <f>IF(F145=ROUND(SUMIFS(ACOAETME2021[[#All],[TOTAL Non-Truncated Unadjusted Claims Expenses]], ACOAETME2021[[#All],[Insurance Category Code]],5, ACOAETME2021[[#All],[ACO/AE or Insurer Overall Organization ID]],B145),2), "TRUE", ROUND(F145-SUMIFS(ACOAETME2021[[#All],[TOTAL Non-Truncated Unadjusted Claims Expenses]], ACOAETME2021[[#All],[Insurance Category Code]],5, ACOAETME2021[[#All],[ACO/AE or Insurer Overall Organization ID]],B145),2))</f>
        <v>TRUE</v>
      </c>
      <c r="L145" s="6" t="str">
        <f>IF(G145=ROUND(SUMIFS(ACOAETME2021[[#All],[TOTAL Truncated Unadjusted Claims Expenses (A19 - A17)]], ACOAETME2021[[#All],[Insurance Category Code]],5, ACOAETME2021[[#All],[ACO/AE or Insurer Overall Organization ID]],B145),2), "TRUE", ROUND(G145-SUMIFS(ACOAETME2021[[#All],[TOTAL Truncated Unadjusted Claims Expenses (A19 - A17)]], ACOAETME2021[[#All],[Insurance Category Code]],5, ACOAETME2021[[#All],[ACO/AE or Insurer Overall Organization ID]],B145),2))</f>
        <v>TRUE</v>
      </c>
      <c r="M145" s="6" t="str">
        <f t="shared" ref="M145" si="33">IF(E145=0, "TRUE",IF((C145/12)&gt;E145,"TRUE",(C145/12)-E145))</f>
        <v>TRUE</v>
      </c>
      <c r="N145" s="6" t="b">
        <f>ROUND(SUMIFS(ACOAETME2021[[#All],[TOTAL Non-Truncated Unadjusted Claims Expenses]], ACOAETME2021[[#All],[Insurance Category Code]],5, ACOAETME2021[[#All],[ACO/AE or Insurer Overall Organization ID]],B145), 2)&gt;=ROUND(SUMIFS(ACOAETME2021[[#All],[TOTAL Truncated Unadjusted Claims Expenses (A19 - A17)]], ACOAETME2021[[#All],[Insurance Category Code]],5, ACOAETME2021[[#All],[ACO/AE or Insurer Overall Organization ID]],B145),2)</f>
        <v>1</v>
      </c>
      <c r="O145" s="6" t="b">
        <f>ROUND(SUMIFS(ACOAETME2021[[#All],[TOTAL Truncated Unadjusted Claims Expenses (A19 - A17)]], ACOAETME2021[[#All],[Insurance Category Code]],5, ACOAETME2021[[#All],[ACO/AE or Insurer Overall Organization ID]],B145)+SUMIFS(ACOAETME2021[[#All],[Total Claims Excluded because of Truncation]], ACOAETME2021[[#All],[Insurance Category Code]],5, ACOAETME2021[[#All],[ACO/AE or Insurer Overall Organization ID]],B145),2)=ROUND(SUMIFS(ACOAETME2021[[#All],[TOTAL Non-Truncated Unadjusted Claims Expenses]], ACOAETME2021[[#All],[Insurance Category Code]],5, ACOAETME2021[[#All],[ACO/AE or Insurer Overall Organization ID]],B145), 2)</f>
        <v>1</v>
      </c>
      <c r="Q145" s="7">
        <v>999</v>
      </c>
      <c r="R145" s="194">
        <f>ROUND(SUMIFS(AgeSex22[[#All],[Total Member Months by Age/Sex Band]], AgeSex22[[#All],[ACO/AE ID or Insurer Overall]], $B145, AgeSex22[[#All], [Insurance Category Code]],5), 2)</f>
        <v>0</v>
      </c>
      <c r="S145" s="452">
        <f>ROUND(SUMIFS(AgeSex22[[#All],[Total Dollars Excluded from Spending After Applying Truncation at the Member Level]], AgeSex22[[#All],[ACO/AE ID or Insurer Overall]], $B145, AgeSex22[[#All], [Insurance Category Code]],5), 2)</f>
        <v>0</v>
      </c>
      <c r="T145" s="6">
        <f>ROUND(SUMIFS(AgeSex22[[#All],[Count of Members Whose Spending was Truncated]], AgeSex22[[#All],[ACO/AE ID or Insurer Overall]], $B145, AgeSex22[[#All], [Insurance Category Code]],5), 2)</f>
        <v>0</v>
      </c>
      <c r="U145" s="452">
        <f>ROUND(SUMIFS(AgeSex22[[#All],[Total Spending before Truncation is Applied]], AgeSex22[[#All],[ACO/AE ID or Insurer Overall]], $B145, AgeSex22[[#All], [Insurance Category Code]],5), 2)</f>
        <v>0</v>
      </c>
      <c r="V145" s="452">
        <f>ROUND(SUMIFS(AgeSex22[[#All],[Total Spending After Applying Truncation at the Member Level]], AgeSex22[[#All],[ACO/AE ID or Insurer Overall]], $B145, AgeSex22[[#All], [Insurance Category Code]],5), 2)</f>
        <v>0</v>
      </c>
      <c r="W145" s="457" t="str">
        <f>IF(R145=ROUND(SUMIFS(ACOAETME2022[[#All],[Member Months]], ACOAETME2022[[#All],[Insurance Category Code]],5, ACOAETME2022[[#All],[ACO/AE or Insurer Overall Organization ID]],Q145),2), "TRUE", ROUND(R145-SUMIFS(ACOAETME2022[[#All],[Member Months]], ACOAETME2022[[#All],[Insurance Category Code]],5, ACOAETME2022[[#All],[ACO/AE or Insurer Overall Organization ID]],Q145),2))</f>
        <v>TRUE</v>
      </c>
      <c r="X145" s="6" t="str">
        <f>IF(S145=ROUND(SUMIFS(ACOAETME2022[[#All],[Total Claims Excluded because of Truncation]], ACOAETME2022[[#All],[Insurance Category Code]],5, ACOAETME2022[[#All],[ACO/AE or Insurer Overall Organization ID]],Q145),2), "TRUE", ROUND(S145-SUMIFS(ACOAETME2022[[#All],[Total Claims Excluded because of Truncation]], ACOAETME2022[[#All],[Insurance Category Code]],5, ACOAETME2022[[#All],[ACO/AE or Insurer Overall Organization ID]],Q145),2))</f>
        <v>TRUE</v>
      </c>
      <c r="Y145" s="6" t="str">
        <f>IF(T145=ROUND(SUMIFS(ACOAETME2022[[#All],[Count of Members with Claims Truncated]], ACOAETME2022[[#All],[Insurance Category Code]],5,ACOAETME2022[[#All],[ACO/AE or Insurer Overall Organization ID]],Q145),2), "TRUE", ROUND(T145-SUMIFS(ACOAETME2022[[#All],[Count of Members with Claims Truncated]], ACOAETME2022[[#All],[Insurance Category Code]],5, ACOAETME2022[[#All],[ACO/AE or Insurer Overall Organization ID]],Q145),2))</f>
        <v>TRUE</v>
      </c>
      <c r="Z145" s="6" t="str">
        <f>IF(U145=ROUND(SUMIFS(ACOAETME2022[[#All],[TOTAL Non-Truncated Unadjusted Claims Expenses]], ACOAETME2022[[#All],[Insurance Category Code]],5, ACOAETME2022[[#All],[ACO/AE or Insurer Overall Organization ID]],Q145),2), "TRUE", ROUND(U145-SUMIFS(ACOAETME2022[[#All],[TOTAL Non-Truncated Unadjusted Claims Expenses]], ACOAETME2022[[#All],[Insurance Category Code]],5, ACOAETME2022[[#All],[ACO/AE or Insurer Overall Organization ID]],Q145),2))</f>
        <v>TRUE</v>
      </c>
      <c r="AA145" s="6" t="str">
        <f>IF(V145=ROUND(SUMIFS(ACOAETME2022[[#All],[TOTAL Truncated Unadjusted Claims Expenses (A19 - A17)]], ACOAETME2022[[#All],[Insurance Category Code]],5, ACOAETME2022[[#All],[ACO/AE or Insurer Overall Organization ID]],Q145),2), "TRUE", ROUND(V145-SUMIFS(ACOAETME2022[[#All],[TOTAL Truncated Unadjusted Claims Expenses (A19 - A17)]], ACOAETME2022[[#All],[Insurance Category Code]],5, ACOAETME2022[[#All],[ACO/AE or Insurer Overall Organization ID]],Q145),2))</f>
        <v>TRUE</v>
      </c>
      <c r="AB145" s="6" t="str">
        <f t="shared" si="30"/>
        <v>TRUE</v>
      </c>
      <c r="AC145" s="6" t="b">
        <f>ROUND(SUMIFS(ACOAETME2022[[#All],[TOTAL Non-Truncated Unadjusted Claims Expenses]], ACOAETME2022[[#All],[Insurance Category Code]],5, ACOAETME2022[[#All],[ACO/AE or Insurer Overall Organization ID]],Q145), 2)&gt;=ROUND(SUMIFS(ACOAETME2022[[#All],[TOTAL Truncated Unadjusted Claims Expenses (A19 - A17)]], ACOAETME2022[[#All],[Insurance Category Code]],5, ACOAETME2022[[#All],[ACO/AE or Insurer Overall Organization ID]],Q145),2)</f>
        <v>1</v>
      </c>
      <c r="AD145" s="6" t="b">
        <f>ROUND(SUMIFS(ACOAETME2022[[#All],[TOTAL Truncated Unadjusted Claims Expenses (A19 - A17)]], ACOAETME2022[[#All],[Insurance Category Code]],5, ACOAETME2022[[#All],[ACO/AE or Insurer Overall Organization ID]],Q145)+SUMIFS(ACOAETME2022[[#All],[Total Claims Excluded because of Truncation]], ACOAETME2022[[#All],[Insurance Category Code]],5, ACOAETME2022[[#All],[ACO/AE or Insurer Overall Organization ID]],Q145),2)=ROUND(SUMIFS(ACOAETME2022[[#All],[TOTAL Non-Truncated Unadjusted Claims Expenses]], ACOAETME2022[[#All],[Insurance Category Code]],5, ACOAETME2022[[#All],[ACO/AE or Insurer Overall Organization ID]],Q145), 2)</f>
        <v>1</v>
      </c>
      <c r="AG145" s="454" t="str">
        <f t="shared" si="31"/>
        <v>NA</v>
      </c>
    </row>
    <row r="146" spans="2:33" x14ac:dyDescent="0.35">
      <c r="B146" s="15"/>
      <c r="C146" s="12"/>
      <c r="Q146" s="15"/>
      <c r="R146" s="12"/>
    </row>
    <row r="147" spans="2:33" ht="15" thickBot="1" x14ac:dyDescent="0.4">
      <c r="B147" s="15"/>
      <c r="C147" s="12"/>
      <c r="Q147" s="15"/>
      <c r="R147" s="12"/>
    </row>
    <row r="148" spans="2:33" ht="24" thickBot="1" x14ac:dyDescent="0.6">
      <c r="B148" s="433" t="s">
        <v>714</v>
      </c>
      <c r="C148" s="594" t="s">
        <v>696</v>
      </c>
      <c r="D148" s="595"/>
      <c r="E148" s="595"/>
      <c r="F148" s="595"/>
      <c r="G148" s="596"/>
      <c r="H148" s="597" t="s">
        <v>697</v>
      </c>
      <c r="I148" s="598"/>
      <c r="J148" s="598"/>
      <c r="K148" s="598"/>
      <c r="L148" s="599"/>
      <c r="M148" s="591" t="s">
        <v>698</v>
      </c>
      <c r="N148" s="592"/>
      <c r="O148" s="593"/>
      <c r="Q148" s="433" t="s">
        <v>714</v>
      </c>
      <c r="R148" s="594" t="s">
        <v>711</v>
      </c>
      <c r="S148" s="595"/>
      <c r="T148" s="595"/>
      <c r="U148" s="595"/>
      <c r="V148" s="596"/>
      <c r="W148" s="597" t="s">
        <v>712</v>
      </c>
      <c r="X148" s="598"/>
      <c r="Y148" s="598"/>
      <c r="Z148" s="598"/>
      <c r="AA148" s="599"/>
      <c r="AB148" s="591" t="s">
        <v>698</v>
      </c>
      <c r="AC148" s="592"/>
      <c r="AD148" s="593"/>
    </row>
    <row r="149" spans="2:33" ht="87" x14ac:dyDescent="0.35">
      <c r="B149" s="434" t="s">
        <v>695</v>
      </c>
      <c r="C149" s="432" t="s">
        <v>228</v>
      </c>
      <c r="D149" s="424" t="s">
        <v>195</v>
      </c>
      <c r="E149" s="424" t="s">
        <v>699</v>
      </c>
      <c r="F149" s="424" t="s">
        <v>244</v>
      </c>
      <c r="G149" s="425" t="s">
        <v>194</v>
      </c>
      <c r="H149" s="426" t="s">
        <v>87</v>
      </c>
      <c r="I149" s="427" t="s">
        <v>700</v>
      </c>
      <c r="J149" s="427" t="s">
        <v>701</v>
      </c>
      <c r="K149" s="427" t="s">
        <v>702</v>
      </c>
      <c r="L149" s="428" t="s">
        <v>703</v>
      </c>
      <c r="M149" s="429" t="s">
        <v>704</v>
      </c>
      <c r="N149" s="430" t="s">
        <v>705</v>
      </c>
      <c r="O149" s="431" t="s">
        <v>706</v>
      </c>
      <c r="Q149" s="434" t="s">
        <v>695</v>
      </c>
      <c r="R149" s="432" t="s">
        <v>228</v>
      </c>
      <c r="S149" s="424" t="s">
        <v>195</v>
      </c>
      <c r="T149" s="424" t="s">
        <v>699</v>
      </c>
      <c r="U149" s="424" t="s">
        <v>244</v>
      </c>
      <c r="V149" s="425" t="s">
        <v>194</v>
      </c>
      <c r="W149" s="426" t="s">
        <v>87</v>
      </c>
      <c r="X149" s="427" t="s">
        <v>700</v>
      </c>
      <c r="Y149" s="427" t="s">
        <v>701</v>
      </c>
      <c r="Z149" s="427" t="s">
        <v>702</v>
      </c>
      <c r="AA149" s="428" t="s">
        <v>703</v>
      </c>
      <c r="AB149" s="429" t="s">
        <v>704</v>
      </c>
      <c r="AC149" s="430" t="s">
        <v>705</v>
      </c>
      <c r="AD149" s="431" t="s">
        <v>706</v>
      </c>
      <c r="AG149" s="484" t="s">
        <v>754</v>
      </c>
    </row>
    <row r="150" spans="2:33" x14ac:dyDescent="0.35">
      <c r="B150" s="115">
        <v>100</v>
      </c>
      <c r="C150" s="192">
        <f>ROUND(SUMIFS(AgeSex21[[#All],[Total Member Months by Age/Sex Band]], AgeSex21[[#All],[ACO/AE ID or Insurer Overall]], $B150, AgeSex21[[#All], [Insurance Category Code]],7), 2)</f>
        <v>0</v>
      </c>
      <c r="D150" s="452">
        <f>ROUND(SUMIFS(AgeSex21[[#All],[Total Dollars Excluded from Spending After Applying Truncation at the Member Level]], AgeSex21[[#All],[ACO/AE ID or Insurer Overall]], $B150, AgeSex21[[#All], [Insurance Category Code]],7), 2)</f>
        <v>0</v>
      </c>
      <c r="E150" s="6">
        <f>ROUND(SUMIFS(AgeSex21[[#All],[Count of Members Whose Spending was Truncated]], AgeSex21[[#All],[ACO/AE ID or Insurer Overall]], $B150, AgeSex21[[#All], [Insurance Category Code]],7), 2)</f>
        <v>0</v>
      </c>
      <c r="F150" s="452">
        <f>ROUND(SUMIFS(AgeSex21[[#All],[Total Spending before Truncation is Applied]], AgeSex21[[#All],[ACO/AE ID or Insurer Overall]], $B150, AgeSex21[[#All], [Insurance Category Code]],7), 2)</f>
        <v>0</v>
      </c>
      <c r="G150" s="452">
        <f>ROUND(SUMIFS(AgeSex21[[#All],[Total Spending After Applying Truncation at the Member Level]], AgeSex21[[#All],[ACO/AE ID or Insurer Overall]], $B150, AgeSex21[[#All], [Insurance Category Code]],7), 2)</f>
        <v>0</v>
      </c>
      <c r="H150" s="457" t="str">
        <f>IF(C150=ROUND(SUMIFS(ACOAETME2021[[#All],[Member Months]], ACOAETME2021[[#All],[Insurance Category Code]],7, ACOAETME2021[[#All],[ACO/AE or Insurer Overall Organization ID]],B150),2), "TRUE", ROUND(C150-SUMIFS(ACOAETME2021[[#All],[Member Months]], ACOAETME2021[[#All],[Insurance Category Code]],7, ACOAETME2021[[#All],[ACO/AE or Insurer Overall Organization ID]],B150),2))</f>
        <v>TRUE</v>
      </c>
      <c r="I150" s="6" t="str">
        <f>IF(D150=ROUND(SUMIFS(ACOAETME2021[[#All],[Total Claims Excluded because of Truncation]], ACOAETME2021[[#All],[Insurance Category Code]],7, ACOAETME2021[[#All],[ACO/AE or Insurer Overall Organization ID]],B150),2), "TRUE", ROUND(D150-SUMIFS(ACOAETME2021[[#All],[Total Claims Excluded because of Truncation]], ACOAETME2021[[#All],[Insurance Category Code]],7, ACOAETME2021[[#All],[ACO/AE or Insurer Overall Organization ID]],B150),2))</f>
        <v>TRUE</v>
      </c>
      <c r="J150" s="6" t="str">
        <f>IF(E150=ROUND(SUMIFS(ACOAETME2021[[#All],[Count of Members with Claims Truncated]], ACOAETME2021[[#All],[Insurance Category Code]],7,ACOAETME2021[[#All],[ACO/AE or Insurer Overall Organization ID]],B150),2), "TRUE", ROUND(E150-SUMIFS(ACOAETME2021[[#All],[Count of Members with Claims Truncated]], ACOAETME2021[[#All],[Insurance Category Code]],7, ACOAETME2021[[#All],[ACO/AE or Insurer Overall Organization ID]],B150),2))</f>
        <v>TRUE</v>
      </c>
      <c r="K150" s="6" t="str">
        <f>IF(F150=ROUND(SUMIFS(ACOAETME2021[[#All],[TOTAL Non-Truncated Unadjusted Claims Expenses]], ACOAETME2021[[#All],[Insurance Category Code]],7, ACOAETME2021[[#All],[ACO/AE or Insurer Overall Organization ID]],B150),2), "TRUE", ROUND(F150-SUMIFS(ACOAETME2021[[#All],[TOTAL Non-Truncated Unadjusted Claims Expenses]], ACOAETME2021[[#All],[Insurance Category Code]],7, ACOAETME2021[[#All],[ACO/AE or Insurer Overall Organization ID]],B150),2))</f>
        <v>TRUE</v>
      </c>
      <c r="L150" s="6" t="str">
        <f>IF(G150=ROUND(SUMIFS(ACOAETME2021[[#All],[TOTAL Truncated Unadjusted Claims Expenses (A19 - A17)]], ACOAETME2021[[#All],[Insurance Category Code]],7, ACOAETME2021[[#All],[ACO/AE or Insurer Overall Organization ID]],B150),2), "TRUE", ROUND(G150-SUMIFS(ACOAETME2021[[#All],[TOTAL Truncated Unadjusted Claims Expenses (A19 - A17)]], ACOAETME2021[[#All],[Insurance Category Code]],7, ACOAETME2021[[#All],[ACO/AE or Insurer Overall Organization ID]],B150),2))</f>
        <v>TRUE</v>
      </c>
      <c r="M150" s="6" t="str">
        <f t="shared" ref="M150" si="34">IF(E150=0, "TRUE",IF((C150/12)&gt;E150,"TRUE",(C150/12)-E150))</f>
        <v>TRUE</v>
      </c>
      <c r="N150" s="6" t="b">
        <f>ROUND(SUMIFS(ACOAETME2021[[#All],[TOTAL Non-Truncated Unadjusted Claims Expenses]], ACOAETME2021[[#All],[Insurance Category Code]],7, ACOAETME2021[[#All],[ACO/AE or Insurer Overall Organization ID]],B150), 2)&gt;=ROUND(SUMIFS(ACOAETME2021[[#All],[TOTAL Truncated Unadjusted Claims Expenses (A19 - A17)]], ACOAETME2021[[#All],[Insurance Category Code]],7, ACOAETME2021[[#All],[ACO/AE or Insurer Overall Organization ID]],B150),2)</f>
        <v>1</v>
      </c>
      <c r="O150" s="6" t="b">
        <f>ROUND(SUMIFS(ACOAETME2021[[#All],[TOTAL Truncated Unadjusted Claims Expenses (A19 - A17)]], ACOAETME2021[[#All],[Insurance Category Code]],7, ACOAETME2021[[#All],[ACO/AE or Insurer Overall Organization ID]],B150)+SUMIFS(ACOAETME2021[[#All],[Total Claims Excluded because of Truncation]], ACOAETME2021[[#All],[Insurance Category Code]],7, ACOAETME2021[[#All],[ACO/AE or Insurer Overall Organization ID]],B150),2)=ROUND(SUMIFS(ACOAETME2021[[#All],[TOTAL Non-Truncated Unadjusted Claims Expenses]], ACOAETME2021[[#All],[Insurance Category Code]],7, ACOAETME2021[[#All],[ACO/AE or Insurer Overall Organization ID]],B150), 2)</f>
        <v>1</v>
      </c>
      <c r="Q150" s="115">
        <v>100</v>
      </c>
      <c r="R150" s="192">
        <f>ROUND(SUMIFS(AgeSex22[[#All],[Total Member Months by Age/Sex Band]], AgeSex22[[#All],[ACO/AE ID or Insurer Overall]], $B150, AgeSex22[[#All], [Insurance Category Code]],7), 2)</f>
        <v>0</v>
      </c>
      <c r="S150" s="452">
        <f>ROUND(SUMIFS(AgeSex22[[#All],[Total Dollars Excluded from Spending After Applying Truncation at the Member Level]], AgeSex22[[#All],[ACO/AE ID or Insurer Overall]], $B150, AgeSex22[[#All], [Insurance Category Code]],7), 2)</f>
        <v>0</v>
      </c>
      <c r="T150" s="6">
        <f>ROUND(SUMIFS(AgeSex22[[#All],[Count of Members Whose Spending was Truncated]], AgeSex22[[#All],[ACO/AE ID or Insurer Overall]], $B150, AgeSex22[[#All], [Insurance Category Code]],7), 2)</f>
        <v>0</v>
      </c>
      <c r="U150" s="452">
        <f>ROUND(SUMIFS(AgeSex22[[#All],[Total Spending before Truncation is Applied]], AgeSex22[[#All],[ACO/AE ID or Insurer Overall]], $B150, AgeSex22[[#All], [Insurance Category Code]],7), 2)</f>
        <v>0</v>
      </c>
      <c r="V150" s="452">
        <f>ROUND(SUMIFS(AgeSex22[[#All],[Total Spending After Applying Truncation at the Member Level]], AgeSex22[[#All],[ACO/AE ID or Insurer Overall]], $B150, AgeSex22[[#All], [Insurance Category Code]],7), 2)</f>
        <v>0</v>
      </c>
      <c r="W150" s="457" t="str">
        <f>IF(R150=ROUND(SUMIFS(ACOAETME2022[[#All],[Member Months]], ACOAETME2022[[#All],[Insurance Category Code]],7, ACOAETME2022[[#All],[ACO/AE or Insurer Overall Organization ID]],Q150),2), "TRUE", ROUND(R150-SUMIFS(ACOAETME2022[[#All],[Member Months]], ACOAETME2022[[#All],[Insurance Category Code]],7, ACOAETME2022[[#All],[ACO/AE or Insurer Overall Organization ID]],Q150),2))</f>
        <v>TRUE</v>
      </c>
      <c r="X150" s="6" t="str">
        <f>IF(S150=ROUND(SUMIFS(ACOAETME2022[[#All],[Total Claims Excluded because of Truncation]], ACOAETME2022[[#All],[Insurance Category Code]],7, ACOAETME2022[[#All],[ACO/AE or Insurer Overall Organization ID]],Q150),2), "TRUE", ROUND(S150-SUMIFS(ACOAETME2022[[#All],[Total Claims Excluded because of Truncation]], ACOAETME2022[[#All],[Insurance Category Code]],7, ACOAETME2022[[#All],[ACO/AE or Insurer Overall Organization ID]],Q150),2))</f>
        <v>TRUE</v>
      </c>
      <c r="Y150" s="6" t="str">
        <f>IF(T150=ROUND(SUMIFS(ACOAETME2022[[#All],[Count of Members with Claims Truncated]], ACOAETME2022[[#All],[Insurance Category Code]],7,ACOAETME2022[[#All],[ACO/AE or Insurer Overall Organization ID]],Q150),2), "TRUE", ROUND(T150-SUMIFS(ACOAETME2022[[#All],[Count of Members with Claims Truncated]], ACOAETME2022[[#All],[Insurance Category Code]],7, ACOAETME2022[[#All],[ACO/AE or Insurer Overall Organization ID]],Q150),2))</f>
        <v>TRUE</v>
      </c>
      <c r="Z150" s="6" t="str">
        <f>IF(U150=ROUND(SUMIFS(ACOAETME2022[[#All],[TOTAL Non-Truncated Unadjusted Claims Expenses]], ACOAETME2022[[#All],[Insurance Category Code]],7, ACOAETME2022[[#All],[ACO/AE or Insurer Overall Organization ID]],Q150),2), "TRUE", ROUND(U150-SUMIFS(ACOAETME2022[[#All],[TOTAL Non-Truncated Unadjusted Claims Expenses]], ACOAETME2022[[#All],[Insurance Category Code]],7, ACOAETME2022[[#All],[ACO/AE or Insurer Overall Organization ID]],Q150),2))</f>
        <v>TRUE</v>
      </c>
      <c r="AA150" s="6" t="str">
        <f>IF(V150=ROUND(SUMIFS(ACOAETME2022[[#All],[TOTAL Truncated Unadjusted Claims Expenses (A19 - A17)]], ACOAETME2022[[#All],[Insurance Category Code]],7, ACOAETME2022[[#All],[ACO/AE or Insurer Overall Organization ID]],Q150),2), "TRUE", ROUND(V150-SUMIFS(ACOAETME2022[[#All],[TOTAL Truncated Unadjusted Claims Expenses (A19 - A17)]], ACOAETME2022[[#All],[Insurance Category Code]],7, ACOAETME2022[[#All],[ACO/AE or Insurer Overall Organization ID]],Q150),2))</f>
        <v>TRUE</v>
      </c>
      <c r="AB150" s="6" t="str">
        <f t="shared" ref="AB150:AB151" si="35">IF(T150=0, "TRUE",IF((R150/12)&gt;T150,"TRUE",(R150/12)-T150))</f>
        <v>TRUE</v>
      </c>
      <c r="AC150" s="6" t="b">
        <f>ROUND(SUMIFS(ACOAETME2022[[#All],[TOTAL Non-Truncated Unadjusted Claims Expenses]], ACOAETME2022[[#All],[Insurance Category Code]],7, ACOAETME2022[[#All],[ACO/AE or Insurer Overall Organization ID]],Q150), 2)&gt;=ROUND(SUMIFS(ACOAETME2022[[#All],[TOTAL Truncated Unadjusted Claims Expenses (A19 - A17)]], ACOAETME2022[[#All],[Insurance Category Code]],7, ACOAETME2022[[#All],[ACO/AE or Insurer Overall Organization ID]],Q150),2)</f>
        <v>1</v>
      </c>
      <c r="AD150" s="6" t="b">
        <f>ROUND(SUMIFS(ACOAETME2022[[#All],[TOTAL Truncated Unadjusted Claims Expenses (A19 - A17)]], ACOAETME2022[[#All],[Insurance Category Code]],7, ACOAETME2022[[#All],[ACO/AE or Insurer Overall Organization ID]],Q150)+SUMIFS(ACOAETME2022[[#All],[Total Claims Excluded because of Truncation]], ACOAETME2022[[#All],[Insurance Category Code]],7, ACOAETME2022[[#All],[ACO/AE or Insurer Overall Organization ID]],Q150),2)=ROUND(SUMIFS(ACOAETME2022[[#All],[TOTAL Non-Truncated Unadjusted Claims Expenses]], ACOAETME2022[[#All],[Insurance Category Code]],7, ACOAETME2022[[#All],[ACO/AE or Insurer Overall Organization ID]],Q150), 2)</f>
        <v>1</v>
      </c>
      <c r="AG150" s="454" t="str">
        <f t="shared" ref="AG150:AG151" si="36">IFERROR(R150/C150-1, "NA")</f>
        <v>NA</v>
      </c>
    </row>
    <row r="151" spans="2:33" x14ac:dyDescent="0.35">
      <c r="B151" s="115">
        <v>999</v>
      </c>
      <c r="C151" s="192">
        <f>ROUND(SUMIFS(AgeSex21[[#All],[Total Member Months by Age/Sex Band]], AgeSex21[[#All],[ACO/AE ID or Insurer Overall]], $B151, AgeSex21[[#All], [Insurance Category Code]],7), 2)</f>
        <v>0</v>
      </c>
      <c r="D151" s="452">
        <f>ROUND(SUMIFS(AgeSex21[[#All],[Total Dollars Excluded from Spending After Applying Truncation at the Member Level]], AgeSex21[[#All],[ACO/AE ID or Insurer Overall]], $B151, AgeSex21[[#All], [Insurance Category Code]],7), 2)</f>
        <v>0</v>
      </c>
      <c r="E151" s="6">
        <f>ROUND(SUMIFS(AgeSex21[[#All],[Count of Members Whose Spending was Truncated]], AgeSex21[[#All],[ACO/AE ID or Insurer Overall]], $B151, AgeSex21[[#All], [Insurance Category Code]],7), 2)</f>
        <v>0</v>
      </c>
      <c r="F151" s="452">
        <f>ROUND(SUMIFS(AgeSex21[[#All],[Total Spending before Truncation is Applied]], AgeSex21[[#All],[ACO/AE ID or Insurer Overall]], $B151, AgeSex21[[#All], [Insurance Category Code]],7), 2)</f>
        <v>0</v>
      </c>
      <c r="G151" s="452">
        <f>ROUND(SUMIFS(AgeSex21[[#All],[Total Spending After Applying Truncation at the Member Level]], AgeSex21[[#All],[ACO/AE ID or Insurer Overall]], $B151, AgeSex21[[#All], [Insurance Category Code]],7), 2)</f>
        <v>0</v>
      </c>
      <c r="H151" s="457" t="str">
        <f>IF(C151=ROUND(SUMIFS(ACOAETME2021[[#All],[Member Months]], ACOAETME2021[[#All],[Insurance Category Code]],7, ACOAETME2021[[#All],[ACO/AE or Insurer Overall Organization ID]],B151),2), "TRUE", ROUND(C151-SUMIFS(ACOAETME2021[[#All],[Member Months]], ACOAETME2021[[#All],[Insurance Category Code]],7, ACOAETME2021[[#All],[ACO/AE or Insurer Overall Organization ID]],B151),2))</f>
        <v>TRUE</v>
      </c>
      <c r="I151" s="6" t="str">
        <f>IF(D151=ROUND(SUMIFS(ACOAETME2021[[#All],[Total Claims Excluded because of Truncation]], ACOAETME2021[[#All],[Insurance Category Code]],7, ACOAETME2021[[#All],[ACO/AE or Insurer Overall Organization ID]],B151),2), "TRUE", ROUND(D151-SUMIFS(ACOAETME2021[[#All],[Total Claims Excluded because of Truncation]], ACOAETME2021[[#All],[Insurance Category Code]],7, ACOAETME2021[[#All],[ACO/AE or Insurer Overall Organization ID]],B151),2))</f>
        <v>TRUE</v>
      </c>
      <c r="J151" s="6" t="str">
        <f>IF(E151=ROUND(SUMIFS(ACOAETME2021[[#All],[Count of Members with Claims Truncated]], ACOAETME2021[[#All],[Insurance Category Code]],7,ACOAETME2021[[#All],[ACO/AE or Insurer Overall Organization ID]],B151),2), "TRUE", ROUND(E151-SUMIFS(ACOAETME2021[[#All],[Count of Members with Claims Truncated]], ACOAETME2021[[#All],[Insurance Category Code]],7, ACOAETME2021[[#All],[ACO/AE or Insurer Overall Organization ID]],B151),2))</f>
        <v>TRUE</v>
      </c>
      <c r="K151" s="6" t="str">
        <f>IF(F151=ROUND(SUMIFS(ACOAETME2021[[#All],[TOTAL Non-Truncated Unadjusted Claims Expenses]], ACOAETME2021[[#All],[Insurance Category Code]],7, ACOAETME2021[[#All],[ACO/AE or Insurer Overall Organization ID]],B151),2), "TRUE", ROUND(F151-SUMIFS(ACOAETME2021[[#All],[TOTAL Non-Truncated Unadjusted Claims Expenses]], ACOAETME2021[[#All],[Insurance Category Code]],7, ACOAETME2021[[#All],[ACO/AE or Insurer Overall Organization ID]],B151),2))</f>
        <v>TRUE</v>
      </c>
      <c r="L151" s="6" t="str">
        <f>IF(G151=ROUND(SUMIFS(ACOAETME2021[[#All],[TOTAL Truncated Unadjusted Claims Expenses (A19 - A17)]], ACOAETME2021[[#All],[Insurance Category Code]],7, ACOAETME2021[[#All],[ACO/AE or Insurer Overall Organization ID]],B151),2), "TRUE", ROUND(G151-SUMIFS(ACOAETME2021[[#All],[TOTAL Truncated Unadjusted Claims Expenses (A19 - A17)]], ACOAETME2021[[#All],[Insurance Category Code]],7, ACOAETME2021[[#All],[ACO/AE or Insurer Overall Organization ID]],B151),2))</f>
        <v>TRUE</v>
      </c>
      <c r="M151" s="6" t="str">
        <f t="shared" ref="M151" si="37">IF(E151=0, "TRUE",IF((C151/12)&gt;E151,"TRUE",(C151/12)-E151))</f>
        <v>TRUE</v>
      </c>
      <c r="N151" s="6" t="b">
        <f>ROUND(SUMIFS(ACOAETME2021[[#All],[TOTAL Non-Truncated Unadjusted Claims Expenses]], ACOAETME2021[[#All],[Insurance Category Code]],7, ACOAETME2021[[#All],[ACO/AE or Insurer Overall Organization ID]],B151), 2)&gt;=ROUND(SUMIFS(ACOAETME2021[[#All],[TOTAL Truncated Unadjusted Claims Expenses (A19 - A17)]], ACOAETME2021[[#All],[Insurance Category Code]],7, ACOAETME2021[[#All],[ACO/AE or Insurer Overall Organization ID]],B151),2)</f>
        <v>1</v>
      </c>
      <c r="O151" s="6" t="b">
        <f>ROUND(SUMIFS(ACOAETME2021[[#All],[TOTAL Truncated Unadjusted Claims Expenses (A19 - A17)]], ACOAETME2021[[#All],[Insurance Category Code]],7, ACOAETME2021[[#All],[ACO/AE or Insurer Overall Organization ID]],B151)+SUMIFS(ACOAETME2021[[#All],[Total Claims Excluded because of Truncation]], ACOAETME2021[[#All],[Insurance Category Code]],7, ACOAETME2021[[#All],[ACO/AE or Insurer Overall Organization ID]],B151),2)=ROUND(SUMIFS(ACOAETME2021[[#All],[TOTAL Non-Truncated Unadjusted Claims Expenses]], ACOAETME2021[[#All],[Insurance Category Code]],7, ACOAETME2021[[#All],[ACO/AE or Insurer Overall Organization ID]],B151), 2)</f>
        <v>1</v>
      </c>
      <c r="Q151" s="115">
        <v>999</v>
      </c>
      <c r="R151" s="192">
        <f>ROUND(SUMIFS(AgeSex22[[#All],[Total Member Months by Age/Sex Band]], AgeSex22[[#All],[ACO/AE ID or Insurer Overall]], $B151, AgeSex22[[#All], [Insurance Category Code]],7), 2)</f>
        <v>0</v>
      </c>
      <c r="S151" s="452">
        <f>ROUND(SUMIFS(AgeSex22[[#All],[Total Dollars Excluded from Spending After Applying Truncation at the Member Level]], AgeSex22[[#All],[ACO/AE ID or Insurer Overall]], $B151, AgeSex22[[#All], [Insurance Category Code]],7), 2)</f>
        <v>0</v>
      </c>
      <c r="T151" s="6">
        <f>ROUND(SUMIFS(AgeSex22[[#All],[Count of Members Whose Spending was Truncated]], AgeSex22[[#All],[ACO/AE ID or Insurer Overall]], $B151, AgeSex22[[#All], [Insurance Category Code]],7), 2)</f>
        <v>0</v>
      </c>
      <c r="U151" s="452">
        <f>ROUND(SUMIFS(AgeSex22[[#All],[Total Spending before Truncation is Applied]], AgeSex22[[#All],[ACO/AE ID or Insurer Overall]], $B151, AgeSex22[[#All], [Insurance Category Code]],7), 2)</f>
        <v>0</v>
      </c>
      <c r="V151" s="452">
        <f>ROUND(SUMIFS(AgeSex22[[#All],[Total Spending After Applying Truncation at the Member Level]], AgeSex22[[#All],[ACO/AE ID or Insurer Overall]], $B151, AgeSex22[[#All], [Insurance Category Code]],7), 2)</f>
        <v>0</v>
      </c>
      <c r="W151" s="457" t="str">
        <f>IF(R151=ROUND(SUMIFS(ACOAETME2022[[#All],[Member Months]], ACOAETME2022[[#All],[Insurance Category Code]],7, ACOAETME2022[[#All],[ACO/AE or Insurer Overall Organization ID]],Q151),2), "TRUE", ROUND(R151-SUMIFS(ACOAETME2022[[#All],[Member Months]], ACOAETME2022[[#All],[Insurance Category Code]],7, ACOAETME2022[[#All],[ACO/AE or Insurer Overall Organization ID]],Q151),2))</f>
        <v>TRUE</v>
      </c>
      <c r="X151" s="6" t="str">
        <f>IF(S151=ROUND(SUMIFS(ACOAETME2022[[#All],[Total Claims Excluded because of Truncation]], ACOAETME2022[[#All],[Insurance Category Code]],7, ACOAETME2022[[#All],[ACO/AE or Insurer Overall Organization ID]],Q151),2), "TRUE", ROUND(S151-SUMIFS(ACOAETME2022[[#All],[Total Claims Excluded because of Truncation]], ACOAETME2022[[#All],[Insurance Category Code]],7, ACOAETME2022[[#All],[ACO/AE or Insurer Overall Organization ID]],Q151),2))</f>
        <v>TRUE</v>
      </c>
      <c r="Y151" s="6" t="str">
        <f>IF(T151=ROUND(SUMIFS(ACOAETME2022[[#All],[Count of Members with Claims Truncated]], ACOAETME2022[[#All],[Insurance Category Code]],7,ACOAETME2022[[#All],[ACO/AE or Insurer Overall Organization ID]],Q151),2), "TRUE", ROUND(T151-SUMIFS(ACOAETME2022[[#All],[Count of Members with Claims Truncated]], ACOAETME2022[[#All],[Insurance Category Code]],7, ACOAETME2022[[#All],[ACO/AE or Insurer Overall Organization ID]],Q151),2))</f>
        <v>TRUE</v>
      </c>
      <c r="Z151" s="6" t="str">
        <f>IF(U151=ROUND(SUMIFS(ACOAETME2022[[#All],[TOTAL Non-Truncated Unadjusted Claims Expenses]], ACOAETME2022[[#All],[Insurance Category Code]],7, ACOAETME2022[[#All],[ACO/AE or Insurer Overall Organization ID]],Q151),2), "TRUE", ROUND(U151-SUMIFS(ACOAETME2022[[#All],[TOTAL Non-Truncated Unadjusted Claims Expenses]], ACOAETME2022[[#All],[Insurance Category Code]],7, ACOAETME2022[[#All],[ACO/AE or Insurer Overall Organization ID]],Q151),2))</f>
        <v>TRUE</v>
      </c>
      <c r="AA151" s="6" t="str">
        <f>IF(V151=ROUND(SUMIFS(ACOAETME2022[[#All],[TOTAL Truncated Unadjusted Claims Expenses (A19 - A17)]], ACOAETME2022[[#All],[Insurance Category Code]],7, ACOAETME2022[[#All],[ACO/AE or Insurer Overall Organization ID]],Q151),2), "TRUE", ROUND(V151-SUMIFS(ACOAETME2022[[#All],[TOTAL Truncated Unadjusted Claims Expenses (A19 - A17)]], ACOAETME2022[[#All],[Insurance Category Code]],7, ACOAETME2022[[#All],[ACO/AE or Insurer Overall Organization ID]],Q151),2))</f>
        <v>TRUE</v>
      </c>
      <c r="AB151" s="6" t="str">
        <f t="shared" si="35"/>
        <v>TRUE</v>
      </c>
      <c r="AC151" s="6" t="b">
        <f>ROUND(SUMIFS(ACOAETME2022[[#All],[TOTAL Non-Truncated Unadjusted Claims Expenses]], ACOAETME2022[[#All],[Insurance Category Code]],7, ACOAETME2022[[#All],[ACO/AE or Insurer Overall Organization ID]],Q151), 2)&gt;=ROUND(SUMIFS(ACOAETME2022[[#All],[TOTAL Truncated Unadjusted Claims Expenses (A19 - A17)]], ACOAETME2022[[#All],[Insurance Category Code]],7, ACOAETME2022[[#All],[ACO/AE or Insurer Overall Organization ID]],Q151),2)</f>
        <v>1</v>
      </c>
      <c r="AD151" s="6" t="b">
        <f>ROUND(SUMIFS(ACOAETME2022[[#All],[TOTAL Truncated Unadjusted Claims Expenses (A19 - A17)]], ACOAETME2022[[#All],[Insurance Category Code]],7, ACOAETME2022[[#All],[ACO/AE or Insurer Overall Organization ID]],Q151)+SUMIFS(ACOAETME2022[[#All],[Total Claims Excluded because of Truncation]], ACOAETME2022[[#All],[Insurance Category Code]],7, ACOAETME2022[[#All],[ACO/AE or Insurer Overall Organization ID]],Q151),2)=ROUND(SUMIFS(ACOAETME2022[[#All],[TOTAL Non-Truncated Unadjusted Claims Expenses]], ACOAETME2022[[#All],[Insurance Category Code]],7, ACOAETME2022[[#All],[ACO/AE or Insurer Overall Organization ID]],Q151), 2)</f>
        <v>1</v>
      </c>
      <c r="AG151" s="454" t="str">
        <f t="shared" si="36"/>
        <v>NA</v>
      </c>
    </row>
    <row r="152" spans="2:33" x14ac:dyDescent="0.35">
      <c r="B152" s="514" t="s">
        <v>767</v>
      </c>
      <c r="C152" s="12"/>
      <c r="Q152" s="15"/>
      <c r="R152" s="12"/>
      <c r="AG152" s="483"/>
    </row>
    <row r="153" spans="2:33" x14ac:dyDescent="0.35">
      <c r="B153" s="15"/>
      <c r="C153" s="12"/>
      <c r="Q153" s="15"/>
      <c r="R153" s="12"/>
      <c r="AG153" s="483"/>
    </row>
    <row r="154" spans="2:33" ht="15" thickBot="1" x14ac:dyDescent="0.4">
      <c r="B154" s="13" t="s">
        <v>713</v>
      </c>
      <c r="C154" s="12"/>
      <c r="AG154" s="483"/>
    </row>
    <row r="155" spans="2:33" ht="21.5" thickBot="1" x14ac:dyDescent="0.55000000000000004">
      <c r="B155" s="15"/>
      <c r="C155" s="606">
        <v>2021</v>
      </c>
      <c r="D155" s="607"/>
      <c r="E155" s="608"/>
      <c r="F155" s="603">
        <v>2022</v>
      </c>
      <c r="G155" s="604"/>
      <c r="H155" s="605"/>
      <c r="K155" s="606">
        <v>2021</v>
      </c>
      <c r="L155" s="607"/>
      <c r="M155" s="608"/>
      <c r="N155" s="603">
        <v>2022</v>
      </c>
      <c r="O155" s="604"/>
      <c r="P155" s="605"/>
      <c r="S155" s="606">
        <v>2021</v>
      </c>
      <c r="T155" s="607"/>
      <c r="U155" s="608"/>
      <c r="V155" s="603">
        <v>2022</v>
      </c>
      <c r="W155" s="604"/>
      <c r="X155" s="605"/>
      <c r="AG155" s="483"/>
    </row>
    <row r="156" spans="2:33" ht="58" x14ac:dyDescent="0.35">
      <c r="B156" s="436" t="s">
        <v>8</v>
      </c>
      <c r="C156" s="459" t="s">
        <v>715</v>
      </c>
      <c r="D156" s="460" t="s">
        <v>716</v>
      </c>
      <c r="E156" s="537" t="s">
        <v>776</v>
      </c>
      <c r="F156" s="464" t="s">
        <v>715</v>
      </c>
      <c r="G156" s="465" t="s">
        <v>716</v>
      </c>
      <c r="H156" s="538" t="s">
        <v>776</v>
      </c>
      <c r="J156" s="438" t="s">
        <v>9</v>
      </c>
      <c r="K156" s="469" t="s">
        <v>715</v>
      </c>
      <c r="L156" s="460" t="s">
        <v>716</v>
      </c>
      <c r="M156" s="537" t="s">
        <v>776</v>
      </c>
      <c r="N156" s="464" t="s">
        <v>715</v>
      </c>
      <c r="O156" s="465" t="s">
        <v>716</v>
      </c>
      <c r="P156" s="538" t="s">
        <v>776</v>
      </c>
      <c r="R156" s="438" t="s">
        <v>163</v>
      </c>
      <c r="S156" s="459" t="s">
        <v>715</v>
      </c>
      <c r="T156" s="460" t="s">
        <v>716</v>
      </c>
      <c r="U156" s="537" t="s">
        <v>776</v>
      </c>
      <c r="V156" s="472" t="s">
        <v>715</v>
      </c>
      <c r="W156" s="465" t="s">
        <v>716</v>
      </c>
      <c r="X156" s="538" t="s">
        <v>776</v>
      </c>
      <c r="AG156" s="483"/>
    </row>
    <row r="157" spans="2:33" x14ac:dyDescent="0.35">
      <c r="B157" s="453">
        <v>100</v>
      </c>
      <c r="C157" s="455">
        <f>IF(C1&lt;&gt;"Neighborhood Health Plan of RI", ROUND(SUMIFS(ACOAETME2021[[#All],[TOTAL Truncated Unadjusted Claims Expenses (A19 - A17)]], ACOAETME2021[[#All],[ACO/AE or Insurer Overall Organization ID]],B157, ACOAETME2021[[#All],[Insurance Category Code]], 1)+SUMIFS(ACOAETME2021[[#All],[TOTAL Truncated Unadjusted Claims Expenses (A19 - A17)]], ACOAETME2021[[#All],[ACO/AE or Insurer Overall Organization ID]],B157, ACOAETME2021[[#All],[Insurance Category Code]], 5),2), SUMIFS(ACOAETME2021[[#All],[TOTAL Truncated Unadjusted Claims Expenses (A19 - A17)]], ACOAETME2021[[#All],[ACO/AE or Insurer Overall Organization ID]], B157, ACOAETME2021[[#All],[Insurance Category Code]], 7))</f>
        <v>0</v>
      </c>
      <c r="D157" s="455">
        <f>ROUND(SUMIFS(StandDev2021[[#All],[Total Truncated Spending]], StandDev2021[[#All],[ACO/AE or Insurer Organization ID]],B157, StandDev2021[[#All],[Market]],"Medicare"),2)</f>
        <v>0</v>
      </c>
      <c r="E157" s="461" t="str">
        <f>IF(C157=D157, "TRUE", C157-D157)</f>
        <v>TRUE</v>
      </c>
      <c r="F157" s="518">
        <f>IF(C1&lt;&gt;"Neighborhood Health Plan of RI", ROUND(SUMIFS(ACOAETME2022[[#All],[TOTAL Truncated Unadjusted Claims Expenses (A19 - A17)]], ACOAETME2022[[#All],[ACO/AE or Insurer Overall Organization ID]],B157, ACOAETME2022[[#All],[Insurance Category Code]], 1)+SUMIFS(ACOAETME2022[[#All],[TOTAL Truncated Unadjusted Claims Expenses (A19 - A17)]], ACOAETME2022[[#All],[ACO/AE or Insurer Overall Organization ID]],B157, ACOAETME2022[[#All],[Insurance Category Code]], 5),2), SUMIFS(ACOAETME2022[[#All],[TOTAL Truncated Unadjusted Claims Expenses (A19 - A17)]], ACOAETME2022[[#All],[Insurance Category Code]], 7, ACOAETME2022[[#All],[ACO/AE or Insurer Overall Organization ID]], B157))</f>
        <v>0</v>
      </c>
      <c r="G157" s="455">
        <f>ROUND(SUMIFS(StandDev2022[[#All],[Total Truncated Spending]], StandDev2022[[#All],[ACO/AE or Insurer Organization ID]],B157, StandDev2022[[#All],[Market]],"Medicare"),2)</f>
        <v>0</v>
      </c>
      <c r="H157" s="461" t="str">
        <f>IF(F157=G157, "TRUE", F157-G157)</f>
        <v>TRUE</v>
      </c>
      <c r="J157" s="437">
        <v>100</v>
      </c>
      <c r="K157" s="458">
        <f>ROUND(SUMIFS(ACOAETME2021[[#All],[TOTAL Truncated Unadjusted Claims Expenses (A19 - A17)]], ACOAETME2021[[#All],[ACO/AE or Insurer Overall Organization ID]],J157, ACOAETME2021[[#All],[Insurance Category Code]], 2),2)</f>
        <v>0</v>
      </c>
      <c r="L157" s="456">
        <f>ROUND(SUMIFS(StandDev2021[[#All],[Total Truncated Spending]], StandDev2021[[#All],[ACO/AE or Insurer Organization ID]],J157, StandDev2021[[#All],[Market]],"Medicaid"),2)</f>
        <v>0</v>
      </c>
      <c r="M157" s="461" t="str">
        <f>IF(K157=L157, "TRUE", K157-L157)</f>
        <v>TRUE</v>
      </c>
      <c r="N157" s="466">
        <f>ROUND(SUMIFS(ACOAETME2022[[#All],[TOTAL Truncated Unadjusted Claims Expenses (A19 - A17)]], ACOAETME2022[[#All],[ACO/AE or Insurer Overall Organization ID]],J157, ACOAETME2022[[#All],[Insurance Category Code]], 2),2)</f>
        <v>0</v>
      </c>
      <c r="O157" s="456">
        <f>ROUND(SUMIFS(StandDev2022[[#All],[Total Truncated Spending]], StandDev2022[[#All],[ACO/AE or Insurer Organization ID]],J157, StandDev2022[[#All],[Market]],"Medicaid"),2)</f>
        <v>0</v>
      </c>
      <c r="P157" s="461" t="str">
        <f>IF(N157=O157, "TRUE", N157-O157)</f>
        <v>TRUE</v>
      </c>
      <c r="R157" s="437">
        <v>100</v>
      </c>
      <c r="S157" s="466">
        <f>ROUND(SUMIFS(ACOAETME2021[[#All],[TOTAL Truncated Unadjusted Claims Expenses (A19 - A17)]], ACOAETME2021[[#All],[ACO/AE or Insurer Overall Organization ID]],R157, ACOAETME2021[[#All],[Insurance Category Code]], 3)+SUMIFS(ACOAETME2021[[#All],[TOTAL Truncated Unadjusted Claims Expenses (A19 - A17)]], ACOAETME2021[[#All],[ACO/AE or Insurer Overall Organization ID]],R157, ACOAETME2021[[#All],[Insurance Category Code]], 4),2)</f>
        <v>0</v>
      </c>
      <c r="T157" s="456">
        <f>ROUND(SUMIFS(StandDev2021[[#All],[Total Truncated Spending]], StandDev2021[[#All],[ACO/AE or Insurer Organization ID]],R157, StandDev2021[[#All],[Market]],"Commercial"),2)</f>
        <v>0</v>
      </c>
      <c r="U157" s="461" t="str">
        <f>IF(S157=T157, "TRUE", S157-T157)</f>
        <v>TRUE</v>
      </c>
      <c r="V157" s="473">
        <f>ROUND(SUMIFS(ACOAETME2022[[#All],[TOTAL Truncated Unadjusted Claims Expenses (A19 - A17)]], ACOAETME2022[[#All],[ACO/AE or Insurer Overall Organization ID]],R157, ACOAETME2022[[#All],[Insurance Category Code]], 3)+SUMIFS(ACOAETME2022[[#All],[TOTAL Truncated Unadjusted Claims Expenses (A19 - A17)]], ACOAETME2022[[#All],[ACO/AE or Insurer Overall Organization ID]],R157, ACOAETME2022[[#All],[Insurance Category Code]], 4),2)</f>
        <v>0</v>
      </c>
      <c r="W157" s="452">
        <f>ROUND(SUMIFS(StandDev2022[[#All],[Total Truncated Spending]], StandDev2022[[#All],[ACO/AE or Insurer Organization ID]],R157, StandDev2022[[#All],[Market]],"Commercial"),2)</f>
        <v>0</v>
      </c>
      <c r="X157" s="461" t="str">
        <f>IF(V157=W157, "TRUE", V157-W157)</f>
        <v>TRUE</v>
      </c>
      <c r="AG157" s="483"/>
    </row>
    <row r="158" spans="2:33" x14ac:dyDescent="0.35">
      <c r="B158" s="453">
        <v>101</v>
      </c>
      <c r="C158" s="455">
        <f>ROUND(SUMIFS(ACOAETME2021[[#All],[TOTAL Truncated Unadjusted Claims Expenses (A19 - A17)]], ACOAETME2021[[#All],[ACO/AE or Insurer Overall Organization ID]],B158, ACOAETME2021[[#All],[Insurance Category Code]], 1)+SUMIFS(ACOAETME2021[[#All],[TOTAL Truncated Unadjusted Claims Expenses (A19 - A17)]], ACOAETME2021[[#All],[ACO/AE or Insurer Overall Organization ID]],B158, ACOAETME2021[[#All],[Insurance Category Code]], 5),2)</f>
        <v>0</v>
      </c>
      <c r="D158" s="455">
        <f>ROUND(SUMIFS(StandDev2021[[#All],[Total Truncated Spending]], StandDev2021[[#All],[ACO/AE or Insurer Organization ID]],B158, StandDev2021[[#All],[Market]],"Medicare"),2)</f>
        <v>0</v>
      </c>
      <c r="E158" s="461" t="str">
        <f t="shared" ref="E158:E166" si="38">IF(C158=D158, "TRUE", C158-D158)</f>
        <v>TRUE</v>
      </c>
      <c r="F158" s="518">
        <f>ROUND(SUMIFS(ACOAETME2022[[#All],[TOTAL Truncated Unadjusted Claims Expenses (A19 - A17)]], ACOAETME2022[[#All],[ACO/AE or Insurer Overall Organization ID]],B158, ACOAETME2022[[#All],[Insurance Category Code]], 1)+SUMIFS(ACOAETME2022[[#All],[TOTAL Truncated Unadjusted Claims Expenses (A19 - A17)]], ACOAETME2022[[#All],[ACO/AE or Insurer Overall Organization ID]],B158, ACOAETME2022[[#All],[Insurance Category Code]], 5),2)</f>
        <v>0</v>
      </c>
      <c r="G158" s="455">
        <f>ROUND(SUMIFS(StandDev2022[[#All],[Total Truncated Spending]], StandDev2022[[#All],[ACO/AE or Insurer Organization ID]],B158, StandDev2022[[#All],[Market]],"Medicare"),2)</f>
        <v>0</v>
      </c>
      <c r="H158" s="461" t="str">
        <f t="shared" ref="H158:H166" si="39">IF(F158=G158, "TRUE", F158-G158)</f>
        <v>TRUE</v>
      </c>
      <c r="J158" s="437">
        <v>101</v>
      </c>
      <c r="K158" s="458">
        <f>ROUND(SUMIFS(ACOAETME2021[[#All],[TOTAL Truncated Unadjusted Claims Expenses (A19 - A17)]], ACOAETME2021[[#All],[ACO/AE or Insurer Overall Organization ID]],J158, ACOAETME2021[[#All],[Insurance Category Code]], 2),2)</f>
        <v>0</v>
      </c>
      <c r="L158" s="456">
        <f>ROUND(SUMIFS(StandDev2021[[#All],[Total Truncated Spending]], StandDev2021[[#All],[ACO/AE or Insurer Organization ID]],J158, StandDev2021[[#All],[Market]],"Medicaid"),2)</f>
        <v>0</v>
      </c>
      <c r="M158" s="461" t="str">
        <f t="shared" ref="M158:M166" si="40">IF(K158=L158, "TRUE", K158-L158)</f>
        <v>TRUE</v>
      </c>
      <c r="N158" s="466">
        <f>ROUND(SUMIFS(ACOAETME2022[[#All],[TOTAL Truncated Unadjusted Claims Expenses (A19 - A17)]], ACOAETME2022[[#All],[ACO/AE or Insurer Overall Organization ID]],J158, ACOAETME2022[[#All],[Insurance Category Code]], 2),2)</f>
        <v>0</v>
      </c>
      <c r="O158" s="456">
        <f>ROUND(SUMIFS(StandDev2022[[#All],[Total Truncated Spending]], StandDev2022[[#All],[ACO/AE or Insurer Organization ID]],J158, StandDev2022[[#All],[Market]],"Medicaid"),2)</f>
        <v>0</v>
      </c>
      <c r="P158" s="461" t="str">
        <f t="shared" ref="P158:P166" si="41">IF(N158=O158, "TRUE", N158-O158)</f>
        <v>TRUE</v>
      </c>
      <c r="R158" s="437">
        <v>101</v>
      </c>
      <c r="S158" s="466">
        <f>ROUND(SUMIFS(ACOAETME2021[[#All],[TOTAL Truncated Unadjusted Claims Expenses (A19 - A17)]], ACOAETME2021[[#All],[ACO/AE or Insurer Overall Organization ID]],R158, ACOAETME2021[[#All],[Insurance Category Code]], 3)+SUMIFS(ACOAETME2021[[#All],[TOTAL Truncated Unadjusted Claims Expenses (A19 - A17)]], ACOAETME2021[[#All],[ACO/AE or Insurer Overall Organization ID]],R158, ACOAETME2021[[#All],[Insurance Category Code]], 4),2)</f>
        <v>0</v>
      </c>
      <c r="T158" s="456">
        <f>ROUND(SUMIFS(StandDev2021[[#All],[Total Truncated Spending]], StandDev2021[[#All],[ACO/AE or Insurer Organization ID]],R158, StandDev2021[[#All],[Market]],"Commercial"),2)</f>
        <v>0</v>
      </c>
      <c r="U158" s="461" t="str">
        <f t="shared" ref="U158:U166" si="42">IF(S158=T158, "TRUE", S158-T158)</f>
        <v>TRUE</v>
      </c>
      <c r="V158" s="473">
        <f>ROUND(SUMIFS(ACOAETME2022[[#All],[TOTAL Truncated Unadjusted Claims Expenses (A19 - A17)]], ACOAETME2022[[#All],[ACO/AE or Insurer Overall Organization ID]],R158, ACOAETME2022[[#All],[Insurance Category Code]], 3)+SUMIFS(ACOAETME2022[[#All],[TOTAL Truncated Unadjusted Claims Expenses (A19 - A17)]], ACOAETME2022[[#All],[ACO/AE or Insurer Overall Organization ID]],R158, ACOAETME2022[[#All],[Insurance Category Code]], 4),2)</f>
        <v>0</v>
      </c>
      <c r="W158" s="452">
        <f>ROUND(SUMIFS(StandDev2022[[#All],[Total Truncated Spending]], StandDev2022[[#All],[ACO/AE or Insurer Organization ID]],R158, StandDev2022[[#All],[Market]],"Commercial"),2)</f>
        <v>0</v>
      </c>
      <c r="X158" s="461" t="str">
        <f t="shared" ref="X158:X166" si="43">IF(V158=W158, "TRUE", V158-W158)</f>
        <v>TRUE</v>
      </c>
      <c r="AG158" s="483"/>
    </row>
    <row r="159" spans="2:33" x14ac:dyDescent="0.35">
      <c r="B159" s="453">
        <v>102</v>
      </c>
      <c r="C159" s="455">
        <f>ROUND(SUMIFS(ACOAETME2021[[#All],[TOTAL Truncated Unadjusted Claims Expenses (A19 - A17)]], ACOAETME2021[[#All],[ACO/AE or Insurer Overall Organization ID]],B159, ACOAETME2021[[#All],[Insurance Category Code]], 1)+SUMIFS(ACOAETME2021[[#All],[TOTAL Truncated Unadjusted Claims Expenses (A19 - A17)]], ACOAETME2021[[#All],[ACO/AE or Insurer Overall Organization ID]],B159, ACOAETME2021[[#All],[Insurance Category Code]], 5),2)</f>
        <v>0</v>
      </c>
      <c r="D159" s="455">
        <f>ROUND(SUMIFS(StandDev2021[[#All],[Total Truncated Spending]], StandDev2021[[#All],[ACO/AE or Insurer Organization ID]],B159, StandDev2021[[#All],[Market]],"Medicare"),2)</f>
        <v>0</v>
      </c>
      <c r="E159" s="461" t="str">
        <f t="shared" si="38"/>
        <v>TRUE</v>
      </c>
      <c r="F159" s="518">
        <f>ROUND(SUMIFS(ACOAETME2022[[#All],[TOTAL Truncated Unadjusted Claims Expenses (A19 - A17)]], ACOAETME2022[[#All],[ACO/AE or Insurer Overall Organization ID]],B159, ACOAETME2022[[#All],[Insurance Category Code]], 1)+SUMIFS(ACOAETME2022[[#All],[TOTAL Truncated Unadjusted Claims Expenses (A19 - A17)]], ACOAETME2022[[#All],[ACO/AE or Insurer Overall Organization ID]],B159, ACOAETME2022[[#All],[Insurance Category Code]], 5),2)</f>
        <v>0</v>
      </c>
      <c r="G159" s="455">
        <f>ROUND(SUMIFS(StandDev2022[[#All],[Total Truncated Spending]], StandDev2022[[#All],[ACO/AE or Insurer Organization ID]],B159, StandDev2022[[#All],[Market]],"Medicare"),2)</f>
        <v>0</v>
      </c>
      <c r="H159" s="461" t="str">
        <f t="shared" si="39"/>
        <v>TRUE</v>
      </c>
      <c r="J159" s="437">
        <v>102</v>
      </c>
      <c r="K159" s="458">
        <f>ROUND(SUMIFS(ACOAETME2021[[#All],[TOTAL Truncated Unadjusted Claims Expenses (A19 - A17)]], ACOAETME2021[[#All],[ACO/AE or Insurer Overall Organization ID]],J159, ACOAETME2021[[#All],[Insurance Category Code]], 2),2)</f>
        <v>0</v>
      </c>
      <c r="L159" s="456">
        <f>ROUND(SUMIFS(StandDev2021[[#All],[Total Truncated Spending]], StandDev2021[[#All],[ACO/AE or Insurer Organization ID]],J159, StandDev2021[[#All],[Market]],"Medicaid"),2)</f>
        <v>0</v>
      </c>
      <c r="M159" s="461" t="str">
        <f t="shared" si="40"/>
        <v>TRUE</v>
      </c>
      <c r="N159" s="466">
        <f>ROUND(SUMIFS(ACOAETME2022[[#All],[TOTAL Truncated Unadjusted Claims Expenses (A19 - A17)]], ACOAETME2022[[#All],[ACO/AE or Insurer Overall Organization ID]],J159, ACOAETME2022[[#All],[Insurance Category Code]], 2),2)</f>
        <v>0</v>
      </c>
      <c r="O159" s="456">
        <f>ROUND(SUMIFS(StandDev2022[[#All],[Total Truncated Spending]], StandDev2022[[#All],[ACO/AE or Insurer Organization ID]],J159, StandDev2022[[#All],[Market]],"Medicaid"),2)</f>
        <v>0</v>
      </c>
      <c r="P159" s="461" t="str">
        <f t="shared" si="41"/>
        <v>TRUE</v>
      </c>
      <c r="R159" s="437">
        <v>102</v>
      </c>
      <c r="S159" s="466">
        <f>ROUND(SUMIFS(ACOAETME2021[[#All],[TOTAL Truncated Unadjusted Claims Expenses (A19 - A17)]], ACOAETME2021[[#All],[ACO/AE or Insurer Overall Organization ID]],R159, ACOAETME2021[[#All],[Insurance Category Code]], 3)+SUMIFS(ACOAETME2021[[#All],[TOTAL Truncated Unadjusted Claims Expenses (A19 - A17)]], ACOAETME2021[[#All],[ACO/AE or Insurer Overall Organization ID]],R159, ACOAETME2021[[#All],[Insurance Category Code]], 4),2)</f>
        <v>0</v>
      </c>
      <c r="T159" s="456">
        <f>ROUND(SUMIFS(StandDev2021[[#All],[Total Truncated Spending]], StandDev2021[[#All],[ACO/AE or Insurer Organization ID]],R159, StandDev2021[[#All],[Market]],"Commercial"),2)</f>
        <v>0</v>
      </c>
      <c r="U159" s="461" t="str">
        <f t="shared" si="42"/>
        <v>TRUE</v>
      </c>
      <c r="V159" s="473">
        <f>ROUND(SUMIFS(ACOAETME2022[[#All],[TOTAL Truncated Unadjusted Claims Expenses (A19 - A17)]], ACOAETME2022[[#All],[ACO/AE or Insurer Overall Organization ID]],R159, ACOAETME2022[[#All],[Insurance Category Code]], 3)+SUMIFS(ACOAETME2022[[#All],[TOTAL Truncated Unadjusted Claims Expenses (A19 - A17)]], ACOAETME2022[[#All],[ACO/AE or Insurer Overall Organization ID]],R159, ACOAETME2022[[#All],[Insurance Category Code]], 4),2)</f>
        <v>0</v>
      </c>
      <c r="W159" s="452">
        <f>ROUND(SUMIFS(StandDev2022[[#All],[Total Truncated Spending]], StandDev2022[[#All],[ACO/AE or Insurer Organization ID]],R159, StandDev2022[[#All],[Market]],"Commercial"),2)</f>
        <v>0</v>
      </c>
      <c r="X159" s="461" t="str">
        <f t="shared" si="43"/>
        <v>TRUE</v>
      </c>
      <c r="AG159" s="483"/>
    </row>
    <row r="160" spans="2:33" x14ac:dyDescent="0.35">
      <c r="B160" s="453">
        <v>103</v>
      </c>
      <c r="C160" s="455">
        <f>ROUND(SUMIFS(ACOAETME2021[[#All],[TOTAL Truncated Unadjusted Claims Expenses (A19 - A17)]], ACOAETME2021[[#All],[ACO/AE or Insurer Overall Organization ID]],B160, ACOAETME2021[[#All],[Insurance Category Code]], 1)+SUMIFS(ACOAETME2021[[#All],[TOTAL Truncated Unadjusted Claims Expenses (A19 - A17)]], ACOAETME2021[[#All],[ACO/AE or Insurer Overall Organization ID]],B160, ACOAETME2021[[#All],[Insurance Category Code]], 5),2)</f>
        <v>0</v>
      </c>
      <c r="D160" s="455">
        <f>ROUND(SUMIFS(StandDev2021[[#All],[Total Truncated Spending]], StandDev2021[[#All],[ACO/AE or Insurer Organization ID]],B160, StandDev2021[[#All],[Market]],"Medicare"),2)</f>
        <v>0</v>
      </c>
      <c r="E160" s="461" t="str">
        <f t="shared" si="38"/>
        <v>TRUE</v>
      </c>
      <c r="F160" s="518">
        <f>ROUND(SUMIFS(ACOAETME2022[[#All],[TOTAL Truncated Unadjusted Claims Expenses (A19 - A17)]], ACOAETME2022[[#All],[ACO/AE or Insurer Overall Organization ID]],B160, ACOAETME2022[[#All],[Insurance Category Code]], 1)+SUMIFS(ACOAETME2022[[#All],[TOTAL Truncated Unadjusted Claims Expenses (A19 - A17)]], ACOAETME2022[[#All],[ACO/AE or Insurer Overall Organization ID]],B160, ACOAETME2022[[#All],[Insurance Category Code]], 5),2)</f>
        <v>0</v>
      </c>
      <c r="G160" s="455">
        <f>ROUND(SUMIFS(StandDev2022[[#All],[Total Truncated Spending]], StandDev2022[[#All],[ACO/AE or Insurer Organization ID]],B160, StandDev2022[[#All],[Market]],"Medicare"),2)</f>
        <v>0</v>
      </c>
      <c r="H160" s="461" t="str">
        <f t="shared" si="39"/>
        <v>TRUE</v>
      </c>
      <c r="J160" s="437">
        <v>103</v>
      </c>
      <c r="K160" s="458">
        <f>ROUND(SUMIFS(ACOAETME2021[[#All],[TOTAL Truncated Unadjusted Claims Expenses (A19 - A17)]], ACOAETME2021[[#All],[ACO/AE or Insurer Overall Organization ID]],J160, ACOAETME2021[[#All],[Insurance Category Code]], 2),2)</f>
        <v>0</v>
      </c>
      <c r="L160" s="456">
        <f>ROUND(SUMIFS(StandDev2021[[#All],[Total Truncated Spending]], StandDev2021[[#All],[ACO/AE or Insurer Organization ID]],J160, StandDev2021[[#All],[Market]],"Medicaid"),2)</f>
        <v>0</v>
      </c>
      <c r="M160" s="461" t="str">
        <f t="shared" si="40"/>
        <v>TRUE</v>
      </c>
      <c r="N160" s="466">
        <f>ROUND(SUMIFS(ACOAETME2022[[#All],[TOTAL Truncated Unadjusted Claims Expenses (A19 - A17)]], ACOAETME2022[[#All],[ACO/AE or Insurer Overall Organization ID]],J160, ACOAETME2022[[#All],[Insurance Category Code]], 2),2)</f>
        <v>0</v>
      </c>
      <c r="O160" s="456">
        <f>ROUND(SUMIFS(StandDev2022[[#All],[Total Truncated Spending]], StandDev2022[[#All],[ACO/AE or Insurer Organization ID]],J160, StandDev2022[[#All],[Market]],"Medicaid"),2)</f>
        <v>0</v>
      </c>
      <c r="P160" s="461" t="str">
        <f t="shared" si="41"/>
        <v>TRUE</v>
      </c>
      <c r="R160" s="437">
        <v>103</v>
      </c>
      <c r="S160" s="466">
        <f>ROUND(SUMIFS(ACOAETME2021[[#All],[TOTAL Truncated Unadjusted Claims Expenses (A19 - A17)]], ACOAETME2021[[#All],[ACO/AE or Insurer Overall Organization ID]],R160, ACOAETME2021[[#All],[Insurance Category Code]], 3)+SUMIFS(ACOAETME2021[[#All],[TOTAL Truncated Unadjusted Claims Expenses (A19 - A17)]], ACOAETME2021[[#All],[ACO/AE or Insurer Overall Organization ID]],R160, ACOAETME2021[[#All],[Insurance Category Code]], 4),2)</f>
        <v>0</v>
      </c>
      <c r="T160" s="456">
        <f>ROUND(SUMIFS(StandDev2021[[#All],[Total Truncated Spending]], StandDev2021[[#All],[ACO/AE or Insurer Organization ID]],R160, StandDev2021[[#All],[Market]],"Commercial"),2)</f>
        <v>0</v>
      </c>
      <c r="U160" s="461" t="str">
        <f t="shared" si="42"/>
        <v>TRUE</v>
      </c>
      <c r="V160" s="473">
        <f>ROUND(SUMIFS(ACOAETME2022[[#All],[TOTAL Truncated Unadjusted Claims Expenses (A19 - A17)]], ACOAETME2022[[#All],[ACO/AE or Insurer Overall Organization ID]],R160, ACOAETME2022[[#All],[Insurance Category Code]], 3)+SUMIFS(ACOAETME2022[[#All],[TOTAL Truncated Unadjusted Claims Expenses (A19 - A17)]], ACOAETME2022[[#All],[ACO/AE or Insurer Overall Organization ID]],R160, ACOAETME2022[[#All],[Insurance Category Code]], 4),2)</f>
        <v>0</v>
      </c>
      <c r="W160" s="452">
        <f>ROUND(SUMIFS(StandDev2022[[#All],[Total Truncated Spending]], StandDev2022[[#All],[ACO/AE or Insurer Organization ID]],R160, StandDev2022[[#All],[Market]],"Commercial"),2)</f>
        <v>0</v>
      </c>
      <c r="X160" s="461" t="str">
        <f t="shared" si="43"/>
        <v>TRUE</v>
      </c>
    </row>
    <row r="161" spans="2:24" x14ac:dyDescent="0.35">
      <c r="B161" s="453">
        <v>104</v>
      </c>
      <c r="C161" s="455">
        <f>ROUND(SUMIFS(ACOAETME2021[[#All],[TOTAL Truncated Unadjusted Claims Expenses (A19 - A17)]], ACOAETME2021[[#All],[ACO/AE or Insurer Overall Organization ID]],B161, ACOAETME2021[[#All],[Insurance Category Code]], 1)+SUMIFS(ACOAETME2021[[#All],[TOTAL Truncated Unadjusted Claims Expenses (A19 - A17)]], ACOAETME2021[[#All],[ACO/AE or Insurer Overall Organization ID]],B161, ACOAETME2021[[#All],[Insurance Category Code]], 5),2)</f>
        <v>0</v>
      </c>
      <c r="D161" s="455">
        <f>ROUND(SUMIFS(StandDev2021[[#All],[Total Truncated Spending]], StandDev2021[[#All],[ACO/AE or Insurer Organization ID]],B161, StandDev2021[[#All],[Market]],"Medicare"),2)</f>
        <v>0</v>
      </c>
      <c r="E161" s="461" t="str">
        <f t="shared" si="38"/>
        <v>TRUE</v>
      </c>
      <c r="F161" s="518">
        <f>ROUND(SUMIFS(ACOAETME2022[[#All],[TOTAL Truncated Unadjusted Claims Expenses (A19 - A17)]], ACOAETME2022[[#All],[ACO/AE or Insurer Overall Organization ID]],B161, ACOAETME2022[[#All],[Insurance Category Code]], 1)+SUMIFS(ACOAETME2022[[#All],[TOTAL Truncated Unadjusted Claims Expenses (A19 - A17)]], ACOAETME2022[[#All],[ACO/AE or Insurer Overall Organization ID]],B161, ACOAETME2022[[#All],[Insurance Category Code]], 5),2)</f>
        <v>0</v>
      </c>
      <c r="G161" s="455">
        <f>ROUND(SUMIFS(StandDev2022[[#All],[Total Truncated Spending]], StandDev2022[[#All],[ACO/AE or Insurer Organization ID]],B161, StandDev2022[[#All],[Market]],"Medicare"),2)</f>
        <v>0</v>
      </c>
      <c r="H161" s="461" t="str">
        <f t="shared" si="39"/>
        <v>TRUE</v>
      </c>
      <c r="J161" s="437">
        <v>104</v>
      </c>
      <c r="K161" s="458">
        <f>ROUND(SUMIFS(ACOAETME2021[[#All],[TOTAL Truncated Unadjusted Claims Expenses (A19 - A17)]], ACOAETME2021[[#All],[ACO/AE or Insurer Overall Organization ID]],J161, ACOAETME2021[[#All],[Insurance Category Code]], 2),2)</f>
        <v>0</v>
      </c>
      <c r="L161" s="456">
        <f>ROUND(SUMIFS(StandDev2021[[#All],[Total Truncated Spending]], StandDev2021[[#All],[ACO/AE or Insurer Organization ID]],J161, StandDev2021[[#All],[Market]],"Medicaid"),2)</f>
        <v>0</v>
      </c>
      <c r="M161" s="461" t="str">
        <f t="shared" si="40"/>
        <v>TRUE</v>
      </c>
      <c r="N161" s="466">
        <f>ROUND(SUMIFS(ACOAETME2022[[#All],[TOTAL Truncated Unadjusted Claims Expenses (A19 - A17)]], ACOAETME2022[[#All],[ACO/AE or Insurer Overall Organization ID]],J161, ACOAETME2022[[#All],[Insurance Category Code]], 2),2)</f>
        <v>0</v>
      </c>
      <c r="O161" s="456">
        <f>ROUND(SUMIFS(StandDev2022[[#All],[Total Truncated Spending]], StandDev2022[[#All],[ACO/AE or Insurer Organization ID]],J161, StandDev2022[[#All],[Market]],"Medicaid"),2)</f>
        <v>0</v>
      </c>
      <c r="P161" s="461" t="str">
        <f t="shared" si="41"/>
        <v>TRUE</v>
      </c>
      <c r="R161" s="437">
        <v>104</v>
      </c>
      <c r="S161" s="466">
        <f>ROUND(SUMIFS(ACOAETME2021[[#All],[TOTAL Truncated Unadjusted Claims Expenses (A19 - A17)]], ACOAETME2021[[#All],[ACO/AE or Insurer Overall Organization ID]],R161, ACOAETME2021[[#All],[Insurance Category Code]], 3)+SUMIFS(ACOAETME2021[[#All],[TOTAL Truncated Unadjusted Claims Expenses (A19 - A17)]], ACOAETME2021[[#All],[ACO/AE or Insurer Overall Organization ID]],R161, ACOAETME2021[[#All],[Insurance Category Code]], 4),2)</f>
        <v>0</v>
      </c>
      <c r="T161" s="456">
        <f>ROUND(SUMIFS(StandDev2021[[#All],[Total Truncated Spending]], StandDev2021[[#All],[ACO/AE or Insurer Organization ID]],R161, StandDev2021[[#All],[Market]],"Commercial"),2)</f>
        <v>0</v>
      </c>
      <c r="U161" s="461" t="str">
        <f t="shared" si="42"/>
        <v>TRUE</v>
      </c>
      <c r="V161" s="473">
        <f>ROUND(SUMIFS(ACOAETME2022[[#All],[TOTAL Truncated Unadjusted Claims Expenses (A19 - A17)]], ACOAETME2022[[#All],[ACO/AE or Insurer Overall Organization ID]],R161, ACOAETME2022[[#All],[Insurance Category Code]], 3)+SUMIFS(ACOAETME2022[[#All],[TOTAL Truncated Unadjusted Claims Expenses (A19 - A17)]], ACOAETME2022[[#All],[ACO/AE or Insurer Overall Organization ID]],R161, ACOAETME2022[[#All],[Insurance Category Code]], 4),2)</f>
        <v>0</v>
      </c>
      <c r="W161" s="452">
        <f>ROUND(SUMIFS(StandDev2022[[#All],[Total Truncated Spending]], StandDev2022[[#All],[ACO/AE or Insurer Organization ID]],R161, StandDev2022[[#All],[Market]],"Commercial"),2)</f>
        <v>0</v>
      </c>
      <c r="X161" s="461" t="str">
        <f t="shared" si="43"/>
        <v>TRUE</v>
      </c>
    </row>
    <row r="162" spans="2:24" x14ac:dyDescent="0.35">
      <c r="B162" s="453">
        <v>105</v>
      </c>
      <c r="C162" s="455">
        <f>ROUND(SUMIFS(ACOAETME2021[[#All],[TOTAL Truncated Unadjusted Claims Expenses (A19 - A17)]], ACOAETME2021[[#All],[ACO/AE or Insurer Overall Organization ID]],B162, ACOAETME2021[[#All],[Insurance Category Code]], 1)+SUMIFS(ACOAETME2021[[#All],[TOTAL Truncated Unadjusted Claims Expenses (A19 - A17)]], ACOAETME2021[[#All],[ACO/AE or Insurer Overall Organization ID]],B162, ACOAETME2021[[#All],[Insurance Category Code]], 5),2)</f>
        <v>0</v>
      </c>
      <c r="D162" s="455">
        <f>ROUND(SUMIFS(StandDev2021[[#All],[Total Truncated Spending]], StandDev2021[[#All],[ACO/AE or Insurer Organization ID]],B162, StandDev2021[[#All],[Market]],"Medicare"),2)</f>
        <v>0</v>
      </c>
      <c r="E162" s="461" t="str">
        <f t="shared" si="38"/>
        <v>TRUE</v>
      </c>
      <c r="F162" s="518">
        <f>ROUND(SUMIFS(ACOAETME2022[[#All],[TOTAL Truncated Unadjusted Claims Expenses (A19 - A17)]], ACOAETME2022[[#All],[ACO/AE or Insurer Overall Organization ID]],B162, ACOAETME2022[[#All],[Insurance Category Code]], 1)+SUMIFS(ACOAETME2022[[#All],[TOTAL Truncated Unadjusted Claims Expenses (A19 - A17)]], ACOAETME2022[[#All],[ACO/AE or Insurer Overall Organization ID]],B162, ACOAETME2022[[#All],[Insurance Category Code]], 5),2)</f>
        <v>0</v>
      </c>
      <c r="G162" s="455">
        <f>ROUND(SUMIFS(StandDev2022[[#All],[Total Truncated Spending]], StandDev2022[[#All],[ACO/AE or Insurer Organization ID]],B162, StandDev2022[[#All],[Market]],"Medicare"),2)</f>
        <v>0</v>
      </c>
      <c r="H162" s="461" t="str">
        <f t="shared" si="39"/>
        <v>TRUE</v>
      </c>
      <c r="J162" s="437">
        <v>105</v>
      </c>
      <c r="K162" s="458">
        <f>ROUND(SUMIFS(ACOAETME2021[[#All],[TOTAL Truncated Unadjusted Claims Expenses (A19 - A17)]], ACOAETME2021[[#All],[ACO/AE or Insurer Overall Organization ID]],J162, ACOAETME2021[[#All],[Insurance Category Code]], 2),2)</f>
        <v>0</v>
      </c>
      <c r="L162" s="456">
        <f>ROUND(SUMIFS(StandDev2021[[#All],[Total Truncated Spending]], StandDev2021[[#All],[ACO/AE or Insurer Organization ID]],J162, StandDev2021[[#All],[Market]],"Medicaid"),2)</f>
        <v>0</v>
      </c>
      <c r="M162" s="461" t="str">
        <f t="shared" si="40"/>
        <v>TRUE</v>
      </c>
      <c r="N162" s="466">
        <f>ROUND(SUMIFS(ACOAETME2022[[#All],[TOTAL Truncated Unadjusted Claims Expenses (A19 - A17)]], ACOAETME2022[[#All],[ACO/AE or Insurer Overall Organization ID]],J162, ACOAETME2022[[#All],[Insurance Category Code]], 2),2)</f>
        <v>0</v>
      </c>
      <c r="O162" s="456">
        <f>ROUND(SUMIFS(StandDev2022[[#All],[Total Truncated Spending]], StandDev2022[[#All],[ACO/AE or Insurer Organization ID]],J162, StandDev2022[[#All],[Market]],"Medicaid"),2)</f>
        <v>0</v>
      </c>
      <c r="P162" s="461" t="str">
        <f t="shared" si="41"/>
        <v>TRUE</v>
      </c>
      <c r="R162" s="437">
        <v>105</v>
      </c>
      <c r="S162" s="466">
        <f>ROUND(SUMIFS(ACOAETME2021[[#All],[TOTAL Truncated Unadjusted Claims Expenses (A19 - A17)]], ACOAETME2021[[#All],[ACO/AE or Insurer Overall Organization ID]],R162, ACOAETME2021[[#All],[Insurance Category Code]], 3)+SUMIFS(ACOAETME2021[[#All],[TOTAL Truncated Unadjusted Claims Expenses (A19 - A17)]], ACOAETME2021[[#All],[ACO/AE or Insurer Overall Organization ID]],R162, ACOAETME2021[[#All],[Insurance Category Code]], 4),2)</f>
        <v>0</v>
      </c>
      <c r="T162" s="456">
        <f>ROUND(SUMIFS(StandDev2021[[#All],[Total Truncated Spending]], StandDev2021[[#All],[ACO/AE or Insurer Organization ID]],R162, StandDev2021[[#All],[Market]],"Commercial"),2)</f>
        <v>0</v>
      </c>
      <c r="U162" s="461" t="str">
        <f t="shared" si="42"/>
        <v>TRUE</v>
      </c>
      <c r="V162" s="473">
        <f>ROUND(SUMIFS(ACOAETME2022[[#All],[TOTAL Truncated Unadjusted Claims Expenses (A19 - A17)]], ACOAETME2022[[#All],[ACO/AE or Insurer Overall Organization ID]],R162, ACOAETME2022[[#All],[Insurance Category Code]], 3)+SUMIFS(ACOAETME2022[[#All],[TOTAL Truncated Unadjusted Claims Expenses (A19 - A17)]], ACOAETME2022[[#All],[ACO/AE or Insurer Overall Organization ID]],R162, ACOAETME2022[[#All],[Insurance Category Code]], 4),2)</f>
        <v>0</v>
      </c>
      <c r="W162" s="452">
        <f>ROUND(SUMIFS(StandDev2022[[#All],[Total Truncated Spending]], StandDev2022[[#All],[ACO/AE or Insurer Organization ID]],R162, StandDev2022[[#All],[Market]],"Commercial"),2)</f>
        <v>0</v>
      </c>
      <c r="X162" s="461" t="str">
        <f t="shared" si="43"/>
        <v>TRUE</v>
      </c>
    </row>
    <row r="163" spans="2:24" x14ac:dyDescent="0.35">
      <c r="B163" s="453">
        <v>106</v>
      </c>
      <c r="C163" s="455">
        <f>ROUND(SUMIFS(ACOAETME2021[[#All],[TOTAL Truncated Unadjusted Claims Expenses (A19 - A17)]], ACOAETME2021[[#All],[ACO/AE or Insurer Overall Organization ID]],B163, ACOAETME2021[[#All],[Insurance Category Code]], 1)+SUMIFS(ACOAETME2021[[#All],[TOTAL Truncated Unadjusted Claims Expenses (A19 - A17)]], ACOAETME2021[[#All],[ACO/AE or Insurer Overall Organization ID]],B163, ACOAETME2021[[#All],[Insurance Category Code]], 5),2)</f>
        <v>0</v>
      </c>
      <c r="D163" s="455">
        <f>ROUND(SUMIFS(StandDev2021[[#All],[Total Truncated Spending]], StandDev2021[[#All],[ACO/AE or Insurer Organization ID]],B163, StandDev2021[[#All],[Market]],"Medicare"),2)</f>
        <v>0</v>
      </c>
      <c r="E163" s="461" t="str">
        <f t="shared" si="38"/>
        <v>TRUE</v>
      </c>
      <c r="F163" s="518">
        <f>ROUND(SUMIFS(ACOAETME2022[[#All],[TOTAL Truncated Unadjusted Claims Expenses (A19 - A17)]], ACOAETME2022[[#All],[ACO/AE or Insurer Overall Organization ID]],B163, ACOAETME2022[[#All],[Insurance Category Code]], 1)+SUMIFS(ACOAETME2022[[#All],[TOTAL Truncated Unadjusted Claims Expenses (A19 - A17)]], ACOAETME2022[[#All],[ACO/AE or Insurer Overall Organization ID]],B163, ACOAETME2022[[#All],[Insurance Category Code]], 5),2)</f>
        <v>0</v>
      </c>
      <c r="G163" s="455">
        <f>ROUND(SUMIFS(StandDev2022[[#All],[Total Truncated Spending]], StandDev2022[[#All],[ACO/AE or Insurer Organization ID]],B163, StandDev2022[[#All],[Market]],"Medicare"),2)</f>
        <v>0</v>
      </c>
      <c r="H163" s="461" t="str">
        <f t="shared" si="39"/>
        <v>TRUE</v>
      </c>
      <c r="J163" s="437">
        <v>106</v>
      </c>
      <c r="K163" s="458">
        <f>ROUND(SUMIFS(ACOAETME2021[[#All],[TOTAL Truncated Unadjusted Claims Expenses (A19 - A17)]], ACOAETME2021[[#All],[ACO/AE or Insurer Overall Organization ID]],J163, ACOAETME2021[[#All],[Insurance Category Code]], 2),2)</f>
        <v>0</v>
      </c>
      <c r="L163" s="456">
        <f>ROUND(SUMIFS(StandDev2021[[#All],[Total Truncated Spending]], StandDev2021[[#All],[ACO/AE or Insurer Organization ID]],J163, StandDev2021[[#All],[Market]],"Medicaid"),2)</f>
        <v>0</v>
      </c>
      <c r="M163" s="461" t="str">
        <f t="shared" si="40"/>
        <v>TRUE</v>
      </c>
      <c r="N163" s="466">
        <f>ROUND(SUMIFS(ACOAETME2022[[#All],[TOTAL Truncated Unadjusted Claims Expenses (A19 - A17)]], ACOAETME2022[[#All],[ACO/AE or Insurer Overall Organization ID]],J163, ACOAETME2022[[#All],[Insurance Category Code]], 2),2)</f>
        <v>0</v>
      </c>
      <c r="O163" s="456">
        <f>ROUND(SUMIFS(StandDev2022[[#All],[Total Truncated Spending]], StandDev2022[[#All],[ACO/AE or Insurer Organization ID]],J163, StandDev2022[[#All],[Market]],"Medicaid"),2)</f>
        <v>0</v>
      </c>
      <c r="P163" s="461" t="str">
        <f t="shared" si="41"/>
        <v>TRUE</v>
      </c>
      <c r="R163" s="437">
        <v>106</v>
      </c>
      <c r="S163" s="466">
        <f>ROUND(SUMIFS(ACOAETME2021[[#All],[TOTAL Truncated Unadjusted Claims Expenses (A19 - A17)]], ACOAETME2021[[#All],[ACO/AE or Insurer Overall Organization ID]],R163, ACOAETME2021[[#All],[Insurance Category Code]], 3)+SUMIFS(ACOAETME2021[[#All],[TOTAL Truncated Unadjusted Claims Expenses (A19 - A17)]], ACOAETME2021[[#All],[ACO/AE or Insurer Overall Organization ID]],R163, ACOAETME2021[[#All],[Insurance Category Code]], 4),2)</f>
        <v>0</v>
      </c>
      <c r="T163" s="456">
        <f>ROUND(SUMIFS(StandDev2021[[#All],[Total Truncated Spending]], StandDev2021[[#All],[ACO/AE or Insurer Organization ID]],R163, StandDev2021[[#All],[Market]],"Commercial"),2)</f>
        <v>0</v>
      </c>
      <c r="U163" s="461" t="str">
        <f t="shared" si="42"/>
        <v>TRUE</v>
      </c>
      <c r="V163" s="473">
        <f>ROUND(SUMIFS(ACOAETME2022[[#All],[TOTAL Truncated Unadjusted Claims Expenses (A19 - A17)]], ACOAETME2022[[#All],[ACO/AE or Insurer Overall Organization ID]],R163, ACOAETME2022[[#All],[Insurance Category Code]], 3)+SUMIFS(ACOAETME2022[[#All],[TOTAL Truncated Unadjusted Claims Expenses (A19 - A17)]], ACOAETME2022[[#All],[ACO/AE or Insurer Overall Organization ID]],R163, ACOAETME2022[[#All],[Insurance Category Code]], 4),2)</f>
        <v>0</v>
      </c>
      <c r="W163" s="452">
        <f>ROUND(SUMIFS(StandDev2022[[#All],[Total Truncated Spending]], StandDev2022[[#All],[ACO/AE or Insurer Organization ID]],R163, StandDev2022[[#All],[Market]],"Commercial"),2)</f>
        <v>0</v>
      </c>
      <c r="X163" s="461" t="str">
        <f t="shared" si="43"/>
        <v>TRUE</v>
      </c>
    </row>
    <row r="164" spans="2:24" x14ac:dyDescent="0.35">
      <c r="B164" s="515">
        <v>107</v>
      </c>
      <c r="C164" s="455">
        <f>ROUND(SUMIFS(ACOAETME2021[[#All],[TOTAL Truncated Unadjusted Claims Expenses (A19 - A17)]], ACOAETME2021[[#All],[ACO/AE or Insurer Overall Organization ID]],B164, ACOAETME2021[[#All],[Insurance Category Code]], 1)+SUMIFS(ACOAETME2021[[#All],[TOTAL Truncated Unadjusted Claims Expenses (A19 - A17)]], ACOAETME2021[[#All],[ACO/AE or Insurer Overall Organization ID]],B164, ACOAETME2021[[#All],[Insurance Category Code]], 5),2)</f>
        <v>0</v>
      </c>
      <c r="D164" s="455">
        <f>ROUND(SUMIFS(StandDev2021[[#All],[Total Truncated Spending]], StandDev2021[[#All],[ACO/AE or Insurer Organization ID]],B164, StandDev2021[[#All],[Market]],"Medicare"),2)</f>
        <v>0</v>
      </c>
      <c r="E164" s="461" t="str">
        <f t="shared" si="38"/>
        <v>TRUE</v>
      </c>
      <c r="F164" s="518">
        <f>ROUND(SUMIFS(ACOAETME2022[[#All],[TOTAL Truncated Unadjusted Claims Expenses (A19 - A17)]], ACOAETME2022[[#All],[ACO/AE or Insurer Overall Organization ID]],B164, ACOAETME2022[[#All],[Insurance Category Code]], 1)+SUMIFS(ACOAETME2022[[#All],[TOTAL Truncated Unadjusted Claims Expenses (A19 - A17)]], ACOAETME2022[[#All],[ACO/AE or Insurer Overall Organization ID]],B164, ACOAETME2022[[#All],[Insurance Category Code]], 5),2)</f>
        <v>0</v>
      </c>
      <c r="G164" s="455">
        <f>ROUND(SUMIFS(StandDev2022[[#All],[Total Truncated Spending]], StandDev2022[[#All],[ACO/AE or Insurer Organization ID]],B164, StandDev2022[[#All],[Market]],"Medicare"),2)</f>
        <v>0</v>
      </c>
      <c r="H164" s="461" t="str">
        <f t="shared" si="39"/>
        <v>TRUE</v>
      </c>
      <c r="J164" s="437">
        <v>107</v>
      </c>
      <c r="K164" s="458">
        <f>ROUND(SUMIFS(ACOAETME2021[[#All],[TOTAL Truncated Unadjusted Claims Expenses (A19 - A17)]], ACOAETME2021[[#All],[ACO/AE or Insurer Overall Organization ID]],J164, ACOAETME2021[[#All],[Insurance Category Code]], 2),2)</f>
        <v>0</v>
      </c>
      <c r="L164" s="456">
        <f>ROUND(SUMIFS(StandDev2021[[#All],[Total Truncated Spending]], StandDev2021[[#All],[ACO/AE or Insurer Organization ID]],J164, StandDev2021[[#All],[Market]],"Medicaid"),2)</f>
        <v>0</v>
      </c>
      <c r="M164" s="461" t="str">
        <f t="shared" si="40"/>
        <v>TRUE</v>
      </c>
      <c r="N164" s="466">
        <f>ROUND(SUMIFS(ACOAETME2022[[#All],[TOTAL Truncated Unadjusted Claims Expenses (A19 - A17)]], ACOAETME2022[[#All],[ACO/AE or Insurer Overall Organization ID]],J164, ACOAETME2022[[#All],[Insurance Category Code]], 2),2)</f>
        <v>0</v>
      </c>
      <c r="O164" s="456">
        <f>ROUND(SUMIFS(StandDev2022[[#All],[Total Truncated Spending]], StandDev2022[[#All],[ACO/AE or Insurer Organization ID]],J164, StandDev2022[[#All],[Market]],"Medicaid"),2)</f>
        <v>0</v>
      </c>
      <c r="P164" s="461" t="str">
        <f t="shared" si="41"/>
        <v>TRUE</v>
      </c>
      <c r="R164" s="437">
        <v>107</v>
      </c>
      <c r="S164" s="466">
        <f>ROUND(SUMIFS(ACOAETME2021[[#All],[TOTAL Truncated Unadjusted Claims Expenses (A19 - A17)]], ACOAETME2021[[#All],[ACO/AE or Insurer Overall Organization ID]],R164, ACOAETME2021[[#All],[Insurance Category Code]], 3)+SUMIFS(ACOAETME2021[[#All],[TOTAL Truncated Unadjusted Claims Expenses (A19 - A17)]], ACOAETME2021[[#All],[ACO/AE or Insurer Overall Organization ID]],R164, ACOAETME2021[[#All],[Insurance Category Code]], 4),2)</f>
        <v>0</v>
      </c>
      <c r="T164" s="456">
        <f>ROUND(SUMIFS(StandDev2021[[#All],[Total Truncated Spending]], StandDev2021[[#All],[ACO/AE or Insurer Organization ID]],R164, StandDev2021[[#All],[Market]],"Commercial"),2)</f>
        <v>0</v>
      </c>
      <c r="U164" s="461" t="str">
        <f t="shared" si="42"/>
        <v>TRUE</v>
      </c>
      <c r="V164" s="473">
        <f>ROUND(SUMIFS(ACOAETME2022[[#All],[TOTAL Truncated Unadjusted Claims Expenses (A19 - A17)]], ACOAETME2022[[#All],[ACO/AE or Insurer Overall Organization ID]],R164, ACOAETME2022[[#All],[Insurance Category Code]], 3)+SUMIFS(ACOAETME2022[[#All],[TOTAL Truncated Unadjusted Claims Expenses (A19 - A17)]], ACOAETME2022[[#All],[ACO/AE or Insurer Overall Organization ID]],R164, ACOAETME2022[[#All],[Insurance Category Code]], 4),2)</f>
        <v>0</v>
      </c>
      <c r="W164" s="452">
        <f>ROUND(SUMIFS(StandDev2022[[#All],[Total Truncated Spending]], StandDev2022[[#All],[ACO/AE or Insurer Organization ID]],R164, StandDev2022[[#All],[Market]],"Commercial"),2)</f>
        <v>0</v>
      </c>
      <c r="X164" s="461" t="str">
        <f t="shared" si="43"/>
        <v>TRUE</v>
      </c>
    </row>
    <row r="165" spans="2:24" x14ac:dyDescent="0.35">
      <c r="B165" s="515">
        <v>108</v>
      </c>
      <c r="C165" s="455">
        <f>ROUND(SUMIFS(ACOAETME2021[[#All],[TOTAL Truncated Unadjusted Claims Expenses (A19 - A17)]], ACOAETME2021[[#All],[ACO/AE or Insurer Overall Organization ID]],B165, ACOAETME2021[[#All],[Insurance Category Code]], 1)+SUMIFS(ACOAETME2021[[#All],[TOTAL Truncated Unadjusted Claims Expenses (A19 - A17)]], ACOAETME2021[[#All],[ACO/AE or Insurer Overall Organization ID]],B165, ACOAETME2021[[#All],[Insurance Category Code]], 5),2)</f>
        <v>0</v>
      </c>
      <c r="D165" s="455">
        <f>ROUND(SUMIFS(StandDev2021[[#All],[Total Truncated Spending]], StandDev2021[[#All],[ACO/AE or Insurer Organization ID]],B165, StandDev2021[[#All],[Market]],"Medicare"),2)</f>
        <v>0</v>
      </c>
      <c r="E165" s="461" t="str">
        <f t="shared" si="38"/>
        <v>TRUE</v>
      </c>
      <c r="F165" s="518">
        <f>ROUND(SUMIFS(ACOAETME2022[[#All],[TOTAL Truncated Unadjusted Claims Expenses (A19 - A17)]], ACOAETME2022[[#All],[ACO/AE or Insurer Overall Organization ID]],B165, ACOAETME2022[[#All],[Insurance Category Code]], 1)+SUMIFS(ACOAETME2022[[#All],[TOTAL Truncated Unadjusted Claims Expenses (A19 - A17)]], ACOAETME2022[[#All],[ACO/AE or Insurer Overall Organization ID]],B165, ACOAETME2022[[#All],[Insurance Category Code]], 5),2)</f>
        <v>0</v>
      </c>
      <c r="G165" s="455">
        <f>ROUND(SUMIFS(StandDev2022[[#All],[Total Truncated Spending]], StandDev2022[[#All],[ACO/AE or Insurer Organization ID]],B165, StandDev2022[[#All],[Market]],"Medicare"),2)</f>
        <v>0</v>
      </c>
      <c r="H165" s="461" t="str">
        <f t="shared" si="39"/>
        <v>TRUE</v>
      </c>
      <c r="J165" s="437">
        <v>108</v>
      </c>
      <c r="K165" s="458">
        <f>ROUND(SUMIFS(ACOAETME2021[[#All],[TOTAL Truncated Unadjusted Claims Expenses (A19 - A17)]], ACOAETME2021[[#All],[ACO/AE or Insurer Overall Organization ID]],J165, ACOAETME2021[[#All],[Insurance Category Code]], 2),2)</f>
        <v>0</v>
      </c>
      <c r="L165" s="456">
        <f>ROUND(SUMIFS(StandDev2021[[#All],[Total Truncated Spending]], StandDev2021[[#All],[ACO/AE or Insurer Organization ID]],J165, StandDev2021[[#All],[Market]],"Medicaid"),2)</f>
        <v>0</v>
      </c>
      <c r="M165" s="461" t="str">
        <f t="shared" si="40"/>
        <v>TRUE</v>
      </c>
      <c r="N165" s="466">
        <f>ROUND(SUMIFS(ACOAETME2022[[#All],[TOTAL Truncated Unadjusted Claims Expenses (A19 - A17)]], ACOAETME2022[[#All],[ACO/AE or Insurer Overall Organization ID]],J165, ACOAETME2022[[#All],[Insurance Category Code]], 2),2)</f>
        <v>0</v>
      </c>
      <c r="O165" s="456">
        <f>ROUND(SUMIFS(StandDev2022[[#All],[Total Truncated Spending]], StandDev2022[[#All],[ACO/AE or Insurer Organization ID]],J165, StandDev2022[[#All],[Market]],"Medicaid"),2)</f>
        <v>0</v>
      </c>
      <c r="P165" s="461" t="str">
        <f t="shared" si="41"/>
        <v>TRUE</v>
      </c>
      <c r="R165" s="437">
        <v>108</v>
      </c>
      <c r="S165" s="466">
        <f>ROUND(SUMIFS(ACOAETME2021[[#All],[TOTAL Truncated Unadjusted Claims Expenses (A19 - A17)]], ACOAETME2021[[#All],[ACO/AE or Insurer Overall Organization ID]],R165, ACOAETME2021[[#All],[Insurance Category Code]], 3)+SUMIFS(ACOAETME2021[[#All],[TOTAL Truncated Unadjusted Claims Expenses (A19 - A17)]], ACOAETME2021[[#All],[ACO/AE or Insurer Overall Organization ID]],R165, ACOAETME2021[[#All],[Insurance Category Code]], 4),2)</f>
        <v>0</v>
      </c>
      <c r="T165" s="456">
        <f>ROUND(SUMIFS(StandDev2021[[#All],[Total Truncated Spending]], StandDev2021[[#All],[ACO/AE or Insurer Organization ID]],R165, StandDev2021[[#All],[Market]],"Commercial"),2)</f>
        <v>0</v>
      </c>
      <c r="U165" s="461" t="str">
        <f t="shared" si="42"/>
        <v>TRUE</v>
      </c>
      <c r="V165" s="473">
        <f>ROUND(SUMIFS(ACOAETME2022[[#All],[TOTAL Truncated Unadjusted Claims Expenses (A19 - A17)]], ACOAETME2022[[#All],[ACO/AE or Insurer Overall Organization ID]],R165, ACOAETME2022[[#All],[Insurance Category Code]], 3)+SUMIFS(ACOAETME2022[[#All],[TOTAL Truncated Unadjusted Claims Expenses (A19 - A17)]], ACOAETME2022[[#All],[ACO/AE or Insurer Overall Organization ID]],R165, ACOAETME2022[[#All],[Insurance Category Code]], 4),2)</f>
        <v>0</v>
      </c>
      <c r="W165" s="452">
        <f>ROUND(SUMIFS(StandDev2022[[#All],[Total Truncated Spending]], StandDev2022[[#All],[ACO/AE or Insurer Organization ID]],R165, StandDev2022[[#All],[Market]],"Commercial"),2)</f>
        <v>0</v>
      </c>
      <c r="X165" s="461" t="str">
        <f t="shared" si="43"/>
        <v>TRUE</v>
      </c>
    </row>
    <row r="166" spans="2:24" ht="15" thickBot="1" x14ac:dyDescent="0.4">
      <c r="B166" s="516">
        <v>999</v>
      </c>
      <c r="C166" s="517">
        <f>ROUND(SUMIFS(ACOAETME2021[[#All],[TOTAL Truncated Unadjusted Claims Expenses (A19 - A17)]], ACOAETME2021[[#All],[ACO/AE or Insurer Overall Organization ID]],B166, ACOAETME2021[[#All],[Insurance Category Code]], 1)+SUMIFS(ACOAETME2021[[#All],[TOTAL Truncated Unadjusted Claims Expenses (A19 - A17)]], ACOAETME2021[[#All],[ACO/AE or Insurer Overall Organization ID]],B166, ACOAETME2021[[#All],[Insurance Category Code]], 5),2)</f>
        <v>0</v>
      </c>
      <c r="D166" s="517">
        <f>ROUND(SUMIFS(StandDev2021[[#All],[Total Truncated Spending]], StandDev2021[[#All],[ACO/AE or Insurer Organization ID]],B166, StandDev2021[[#All],[Market]],"Medicare"),2)</f>
        <v>0</v>
      </c>
      <c r="E166" s="463" t="str">
        <f t="shared" si="38"/>
        <v>TRUE</v>
      </c>
      <c r="F166" s="519">
        <f>ROUND(SUMIFS(ACOAETME2022[[#All],[TOTAL Truncated Unadjusted Claims Expenses (A19 - A17)]], ACOAETME2022[[#All],[ACO/AE or Insurer Overall Organization ID]],B166, ACOAETME2022[[#All],[Insurance Category Code]], 1)+SUMIFS(ACOAETME2022[[#All],[TOTAL Truncated Unadjusted Claims Expenses (A19 - A17)]], ACOAETME2022[[#All],[ACO/AE or Insurer Overall Organization ID]],B166, ACOAETME2022[[#All],[Insurance Category Code]], 5),2)</f>
        <v>0</v>
      </c>
      <c r="G166" s="517">
        <f>ROUND(SUMIFS(StandDev2022[[#All],[Total Truncated Spending]], StandDev2022[[#All],[ACO/AE or Insurer Organization ID]],B166, StandDev2022[[#All],[Market]],"Medicare"),2)</f>
        <v>0</v>
      </c>
      <c r="H166" s="463" t="str">
        <f t="shared" si="39"/>
        <v>TRUE</v>
      </c>
      <c r="J166" s="468">
        <v>999</v>
      </c>
      <c r="K166" s="470">
        <f>ROUND(SUMIFS(ACOAETME2021[[#All],[TOTAL Truncated Unadjusted Claims Expenses (A19 - A17)]], ACOAETME2021[[#All],[ACO/AE or Insurer Overall Organization ID]],J166, ACOAETME2021[[#All],[Insurance Category Code]], 2),2)</f>
        <v>0</v>
      </c>
      <c r="L166" s="462">
        <f>ROUND(SUMIFS(StandDev2021[[#All],[Total Truncated Spending]], StandDev2021[[#All],[ACO/AE or Insurer Organization ID]],J166, StandDev2021[[#All],[Market]],"Medicaid"),2)</f>
        <v>0</v>
      </c>
      <c r="M166" s="463" t="str">
        <f t="shared" si="40"/>
        <v>TRUE</v>
      </c>
      <c r="N166" s="467">
        <f>ROUND(SUMIFS(ACOAETME2022[[#All],[TOTAL Truncated Unadjusted Claims Expenses (A19 - A17)]], ACOAETME2022[[#All],[ACO/AE or Insurer Overall Organization ID]],J166, ACOAETME2022[[#All],[Insurance Category Code]], 2),2)</f>
        <v>0</v>
      </c>
      <c r="O166" s="462">
        <f>ROUND(SUMIFS(StandDev2022[[#All],[Total Truncated Spending]], StandDev2022[[#All],[ACO/AE or Insurer Organization ID]],J166, StandDev2022[[#All],[Market]],"Medicaid"),2)</f>
        <v>0</v>
      </c>
      <c r="P166" s="463" t="str">
        <f t="shared" si="41"/>
        <v>TRUE</v>
      </c>
      <c r="R166" s="468">
        <v>999</v>
      </c>
      <c r="S166" s="467">
        <f>ROUND(SUMIFS(ACOAETME2021[[#All],[TOTAL Truncated Unadjusted Claims Expenses (A19 - A17)]], ACOAETME2021[[#All],[ACO/AE or Insurer Overall Organization ID]],R166, ACOAETME2021[[#All],[Insurance Category Code]], 3)+SUMIFS(ACOAETME2021[[#All],[TOTAL Truncated Unadjusted Claims Expenses (A19 - A17)]], ACOAETME2021[[#All],[ACO/AE or Insurer Overall Organization ID]],R166, ACOAETME2021[[#All],[Insurance Category Code]], 4),2)</f>
        <v>0</v>
      </c>
      <c r="T166" s="462">
        <f>ROUND(SUMIFS(StandDev2021[[#All],[Total Truncated Spending]], StandDev2021[[#All],[ACO/AE or Insurer Organization ID]],R166, StandDev2021[[#All],[Market]],"Commercial"),2)</f>
        <v>0</v>
      </c>
      <c r="U166" s="463" t="str">
        <f t="shared" si="42"/>
        <v>TRUE</v>
      </c>
      <c r="V166" s="474">
        <f>ROUND(SUMIFS(ACOAETME2022[[#All],[TOTAL Truncated Unadjusted Claims Expenses (A19 - A17)]], ACOAETME2022[[#All],[ACO/AE or Insurer Overall Organization ID]],R166, ACOAETME2022[[#All],[Insurance Category Code]], 3)+SUMIFS(ACOAETME2022[[#All],[TOTAL Truncated Unadjusted Claims Expenses (A19 - A17)]], ACOAETME2022[[#All],[ACO/AE or Insurer Overall Organization ID]],R166, ACOAETME2022[[#All],[Insurance Category Code]], 4),2)</f>
        <v>0</v>
      </c>
      <c r="W166" s="471">
        <f>ROUND(SUMIFS(StandDev2022[[#All],[Total Truncated Spending]], StandDev2022[[#All],[ACO/AE or Insurer Organization ID]],R166, StandDev2022[[#All],[Market]],"Commercial"),2)</f>
        <v>0</v>
      </c>
      <c r="X166" s="463" t="str">
        <f t="shared" si="43"/>
        <v>TRUE</v>
      </c>
    </row>
    <row r="167" spans="2:24" x14ac:dyDescent="0.35">
      <c r="B167" s="514" t="s">
        <v>767</v>
      </c>
      <c r="C167" s="12"/>
      <c r="D167" s="95"/>
    </row>
    <row r="168" spans="2:24" x14ac:dyDescent="0.35">
      <c r="B168" s="24"/>
      <c r="C168" s="12"/>
      <c r="D168" s="95"/>
    </row>
    <row r="169" spans="2:24" x14ac:dyDescent="0.35">
      <c r="B169" s="13" t="s">
        <v>593</v>
      </c>
    </row>
    <row r="170" spans="2:24" x14ac:dyDescent="0.35">
      <c r="B170" s="21" t="s">
        <v>11</v>
      </c>
      <c r="F170" s="5"/>
      <c r="G170" s="5"/>
      <c r="H170" s="5"/>
      <c r="I170" s="12"/>
    </row>
    <row r="171" spans="2:24" ht="29" x14ac:dyDescent="0.35">
      <c r="B171" s="202" t="s">
        <v>3</v>
      </c>
      <c r="C171" s="202" t="s">
        <v>594</v>
      </c>
      <c r="D171" s="202" t="s">
        <v>12</v>
      </c>
      <c r="E171" s="202" t="s">
        <v>13</v>
      </c>
      <c r="F171" s="202" t="s">
        <v>14</v>
      </c>
      <c r="G171" s="202" t="s">
        <v>15</v>
      </c>
      <c r="H171" s="202" t="s">
        <v>16</v>
      </c>
      <c r="I171" s="202" t="s">
        <v>17</v>
      </c>
      <c r="J171" s="202" t="s">
        <v>18</v>
      </c>
      <c r="K171" s="202" t="s">
        <v>19</v>
      </c>
      <c r="L171" s="202" t="s">
        <v>20</v>
      </c>
    </row>
    <row r="172" spans="2:24" x14ac:dyDescent="0.35">
      <c r="B172" s="3">
        <v>1</v>
      </c>
      <c r="C172" s="43" t="str">
        <f>IF(C69&lt;&gt;0, SUMIFS(ACOAETME2021[[#All],[TOTAL Non-Truncated Unadjusted Expenses 
(A19+A21)]], ACOAETME2021[[#All],[Insurance Category Code]], B172, ACOAETME2021[[#All],[ACO/AE or Insurer Overall Organization ID]], 100)/C69, "NA")</f>
        <v>NA</v>
      </c>
      <c r="D172" s="44" t="str">
        <f>IF(C69&lt;&gt;0, SUMIFS(ACOAETME2021[[#All],[Claims: Hospital Inpatient]], ACOAETME2021[[#All],[Insurance Category Code]], B172, ACOAETME2021[[#All],[ACO/AE or Insurer Overall Organization ID]], 100)/C69, "NA")</f>
        <v>NA</v>
      </c>
      <c r="E172" s="44" t="str">
        <f>IF(C69&lt;&gt;0, SUMIFS(ACOAETME2021[[#All],[Claims: Hospital Outpatient]], ACOAETME2021[[#All],[Insurance Category Code]], B172, ACOAETME2021[[#All],[ACO/AE or Insurer Overall Organization ID]], 100)/C69, "NA")</f>
        <v>NA</v>
      </c>
      <c r="F172" s="44" t="str">
        <f>IF(C69&lt;&gt;0, SUMIFS(ACOAETME2021[[#All],[Claims: Professional, Primary Care]], ACOAETME2021[[#All],[Insurance Category Code]], B172, ACOAETME2021[[#All],[ACO/AE or Insurer Overall Organization ID]], 100)/C69, "NA")</f>
        <v>NA</v>
      </c>
      <c r="G172" s="44" t="str">
        <f>IF(C69&lt;&gt;0, SUMIFS(ACOAETME2021[[#All],[Claims: Professional, Specialty Care]], ACOAETME2021[[#All],[Insurance Category Code]], B172, ACOAETME2021[[#All],[ACO/AE or Insurer Overall Organization ID]], 100)/C69, "NA")</f>
        <v>NA</v>
      </c>
      <c r="H172" s="44" t="str">
        <f>IF(C69&lt;&gt;0, SUMIFS(ACOAETME2021[[#All],[Claims: Professional Other]], ACOAETME2021[[#All],[Insurance Category Code]], B172, ACOAETME2021[[#All],[ACO/AE or Insurer Overall Organization ID]], 100)/C69, "NA")</f>
        <v>NA</v>
      </c>
      <c r="I172" s="43" t="str">
        <f>IF(C69&lt;&gt;0, SUMIFS(ACOAETME2021[[#All],[Claims: Pharmacy]], ACOAETME2021[[#All],[Insurance Category Code]], B172, ACOAETME2021[[#All],[ACO/AE or Insurer Overall Organization ID]], 100)/C69, "NA")</f>
        <v>NA</v>
      </c>
      <c r="J172" s="45" t="str">
        <f>IF(C69&lt;&gt;0, SUMIFS(ACOAETME2021[[#All],[Claims: Long-Term Care]], ACOAETME2021[[#All],[Insurance Category Code]], B172, ACOAETME2021[[#All],[ACO/AE or Insurer Overall Organization ID]], 100)/C69, "NA")</f>
        <v>NA</v>
      </c>
      <c r="K172" s="45" t="str">
        <f>IF(C69&lt;&gt;0, SUMIFS(ACOAETME2021[[#All],[Claims: Other]], ACOAETME2021[[#All],[Insurance Category Code]], B172, ACOAETME2021[[#All],[ACO/AE or Insurer Overall Organization ID]], 100)/C69, "NA")</f>
        <v>NA</v>
      </c>
      <c r="L172" s="45" t="str">
        <f>IF(C69&lt;&gt;0, SUMIFS(ACOAETME2021[[#All],[TOTAL Non-Claims Expenses]], ACOAETME2021[[#All],[Insurance Category Code]], B172, ACOAETME2021[[#All],[ACO/AE or Insurer Overall Organization ID]], 100)/C69, "NA")</f>
        <v>NA</v>
      </c>
    </row>
    <row r="173" spans="2:24" x14ac:dyDescent="0.35">
      <c r="B173" s="3">
        <v>2</v>
      </c>
      <c r="C173" s="43" t="str">
        <f>IF(C70&lt;&gt;0, SUMIFS(ACOAETME2021[[#All],[TOTAL Non-Truncated Unadjusted Expenses 
(A19+A21)]], ACOAETME2021[[#All],[Insurance Category Code]], B173, ACOAETME2021[[#All],[ACO/AE or Insurer Overall Organization ID]], 100)/C70, "NA")</f>
        <v>NA</v>
      </c>
      <c r="D173" s="44" t="str">
        <f>IF(C70&lt;&gt;0, SUMIFS(ACOAETME2021[[#All],[Claims: Hospital Inpatient]], ACOAETME2021[[#All],[Insurance Category Code]], B173, ACOAETME2021[[#All],[ACO/AE or Insurer Overall Organization ID]], 100)/C70, "NA")</f>
        <v>NA</v>
      </c>
      <c r="E173" s="44" t="str">
        <f>IF(C70&lt;&gt;0, SUMIFS(ACOAETME2021[[#All],[Claims: Hospital Outpatient]], ACOAETME2021[[#All],[Insurance Category Code]], B173, ACOAETME2021[[#All],[ACO/AE or Insurer Overall Organization ID]], 100)/C70, "NA")</f>
        <v>NA</v>
      </c>
      <c r="F173" s="44" t="str">
        <f>IF(C70&lt;&gt;0, SUMIFS(ACOAETME2021[[#All],[Claims: Professional, Primary Care]], ACOAETME2021[[#All],[Insurance Category Code]], B173, ACOAETME2021[[#All],[ACO/AE or Insurer Overall Organization ID]], 100)/C70, "NA")</f>
        <v>NA</v>
      </c>
      <c r="G173" s="44" t="str">
        <f>IF(C70&lt;&gt;0, SUMIFS(ACOAETME2021[[#All],[Claims: Professional, Specialty Care]], ACOAETME2021[[#All],[Insurance Category Code]], B173, ACOAETME2021[[#All],[ACO/AE or Insurer Overall Organization ID]], 100)/C70, "NA")</f>
        <v>NA</v>
      </c>
      <c r="H173" s="44" t="str">
        <f>IF(C70&lt;&gt;0, SUMIFS(ACOAETME2021[[#All],[Claims: Professional Other]], ACOAETME2021[[#All],[Insurance Category Code]], B173, ACOAETME2021[[#All],[ACO/AE or Insurer Overall Organization ID]], 100)/C70, "NA")</f>
        <v>NA</v>
      </c>
      <c r="I173" s="43" t="str">
        <f>IF(C70&lt;&gt;0, SUMIFS(ACOAETME2021[[#All],[Claims: Pharmacy]], ACOAETME2021[[#All],[Insurance Category Code]], B173, ACOAETME2021[[#All],[ACO/AE or Insurer Overall Organization ID]], 100)/C70, "NA")</f>
        <v>NA</v>
      </c>
      <c r="J173" s="45" t="str">
        <f>IF(C70&lt;&gt;0, SUMIFS(ACOAETME2021[[#All],[Claims: Long-Term Care]], ACOAETME2021[[#All],[Insurance Category Code]], B173, ACOAETME2021[[#All],[ACO/AE or Insurer Overall Organization ID]], 100)/C70, "NA")</f>
        <v>NA</v>
      </c>
      <c r="K173" s="45" t="str">
        <f>IF(C70&lt;&gt;0, SUMIFS(ACOAETME2021[[#All],[Claims: Other]], ACOAETME2021[[#All],[Insurance Category Code]], B173, ACOAETME2021[[#All],[ACO/AE or Insurer Overall Organization ID]], 100)/C70, "NA")</f>
        <v>NA</v>
      </c>
      <c r="L173" s="45" t="str">
        <f>IF(C70&lt;&gt;0, SUMIFS(ACOAETME2021[[#All],[TOTAL Non-Claims Expenses]], ACOAETME2021[[#All],[Insurance Category Code]], B173, ACOAETME2021[[#All],[ACO/AE or Insurer Overall Organization ID]], 100)/C70, "NA")</f>
        <v>NA</v>
      </c>
    </row>
    <row r="174" spans="2:24" x14ac:dyDescent="0.35">
      <c r="B174" s="3">
        <v>3</v>
      </c>
      <c r="C174" s="43" t="str">
        <f>IF(C71&lt;&gt;0, SUMIFS(ACOAETME2021[[#All],[TOTAL Non-Truncated Unadjusted Expenses 
(A19+A21)]], ACOAETME2021[[#All],[Insurance Category Code]], B174, ACOAETME2021[[#All],[ACO/AE or Insurer Overall Organization ID]], 100)/C71, "NA")</f>
        <v>NA</v>
      </c>
      <c r="D174" s="44" t="str">
        <f>IF(C71&lt;&gt;0, SUMIFS(ACOAETME2021[[#All],[Claims: Hospital Inpatient]], ACOAETME2021[[#All],[Insurance Category Code]], B174, ACOAETME2021[[#All],[ACO/AE or Insurer Overall Organization ID]], 100)/C71, "NA")</f>
        <v>NA</v>
      </c>
      <c r="E174" s="44" t="str">
        <f>IF(C71&lt;&gt;0, SUMIFS(ACOAETME2021[[#All],[Claims: Hospital Outpatient]], ACOAETME2021[[#All],[Insurance Category Code]], B174, ACOAETME2021[[#All],[ACO/AE or Insurer Overall Organization ID]], 100)/C71, "NA")</f>
        <v>NA</v>
      </c>
      <c r="F174" s="44" t="str">
        <f>IF(C71&lt;&gt;0, SUMIFS(ACOAETME2021[[#All],[Claims: Professional, Primary Care]], ACOAETME2021[[#All],[Insurance Category Code]], B174, ACOAETME2021[[#All],[ACO/AE or Insurer Overall Organization ID]], 100)/C71, "NA")</f>
        <v>NA</v>
      </c>
      <c r="G174" s="44" t="str">
        <f>IF(C71&lt;&gt;0, SUMIFS(ACOAETME2021[[#All],[Claims: Professional, Specialty Care]], ACOAETME2021[[#All],[Insurance Category Code]], B174, ACOAETME2021[[#All],[ACO/AE or Insurer Overall Organization ID]], 100)/C71, "NA")</f>
        <v>NA</v>
      </c>
      <c r="H174" s="44" t="str">
        <f>IF(C71&lt;&gt;0, SUMIFS(ACOAETME2021[[#All],[Claims: Professional Other]], ACOAETME2021[[#All],[Insurance Category Code]], B174, ACOAETME2021[[#All],[ACO/AE or Insurer Overall Organization ID]], 100)/C71, "NA")</f>
        <v>NA</v>
      </c>
      <c r="I174" s="43" t="str">
        <f>IF(C71&lt;&gt;0, SUMIFS(ACOAETME2021[[#All],[Claims: Pharmacy]], ACOAETME2021[[#All],[Insurance Category Code]], B174, ACOAETME2021[[#All],[ACO/AE or Insurer Overall Organization ID]], 100)/C71, "NA")</f>
        <v>NA</v>
      </c>
      <c r="J174" s="45" t="str">
        <f>IF(C71&lt;&gt;0, SUMIFS(ACOAETME2021[[#All],[Claims: Long-Term Care]], ACOAETME2021[[#All],[Insurance Category Code]], B174, ACOAETME2021[[#All],[ACO/AE or Insurer Overall Organization ID]], 100)/C71, "NA")</f>
        <v>NA</v>
      </c>
      <c r="K174" s="45" t="str">
        <f>IF(C71&lt;&gt;0, SUMIFS(ACOAETME2021[[#All],[Claims: Other]], ACOAETME2021[[#All],[Insurance Category Code]], B174, ACOAETME2021[[#All],[ACO/AE or Insurer Overall Organization ID]], 100)/C71, "NA")</f>
        <v>NA</v>
      </c>
      <c r="L174" s="45" t="str">
        <f>IF(C71&lt;&gt;0, SUMIFS(ACOAETME2021[[#All],[TOTAL Non-Claims Expenses]], ACOAETME2021[[#All],[Insurance Category Code]], B174, ACOAETME2021[[#All],[ACO/AE or Insurer Overall Organization ID]], 100)/C71, "NA")</f>
        <v>NA</v>
      </c>
    </row>
    <row r="175" spans="2:24" x14ac:dyDescent="0.35">
      <c r="B175" s="3">
        <v>4</v>
      </c>
      <c r="C175" s="43" t="str">
        <f>IF(C72&lt;&gt;0, SUMIFS(ACOAETME2021[[#All],[TOTAL Non-Truncated Unadjusted Expenses 
(A19+A21)]], ACOAETME2021[[#All],[Insurance Category Code]], B175, ACOAETME2021[[#All],[ACO/AE or Insurer Overall Organization ID]], 100)/C72, "NA")</f>
        <v>NA</v>
      </c>
      <c r="D175" s="44" t="str">
        <f>IF(C72&lt;&gt;0, SUMIFS(ACOAETME2021[[#All],[Claims: Hospital Inpatient]], ACOAETME2021[[#All],[Insurance Category Code]], B175, ACOAETME2021[[#All],[ACO/AE or Insurer Overall Organization ID]], 100)/C72, "NA")</f>
        <v>NA</v>
      </c>
      <c r="E175" s="44" t="str">
        <f>IF(C72&lt;&gt;0, SUMIFS(ACOAETME2021[[#All],[Claims: Hospital Outpatient]], ACOAETME2021[[#All],[Insurance Category Code]], B175, ACOAETME2021[[#All],[ACO/AE or Insurer Overall Organization ID]], 100)/C72, "NA")</f>
        <v>NA</v>
      </c>
      <c r="F175" s="44" t="str">
        <f>IF(C72&lt;&gt;0, SUMIFS(ACOAETME2021[[#All],[Claims: Professional, Primary Care]], ACOAETME2021[[#All],[Insurance Category Code]], B175, ACOAETME2021[[#All],[ACO/AE or Insurer Overall Organization ID]], 100)/C72, "NA")</f>
        <v>NA</v>
      </c>
      <c r="G175" s="44" t="str">
        <f>IF(C72&lt;&gt;0, SUMIFS(ACOAETME2021[[#All],[Claims: Professional, Specialty Care]], ACOAETME2021[[#All],[Insurance Category Code]], B175, ACOAETME2021[[#All],[ACO/AE or Insurer Overall Organization ID]], 100)/C72, "NA")</f>
        <v>NA</v>
      </c>
      <c r="H175" s="44" t="str">
        <f>IF(C72&lt;&gt;0, SUMIFS(ACOAETME2021[[#All],[Claims: Professional Other]], ACOAETME2021[[#All],[Insurance Category Code]], B175, ACOAETME2021[[#All],[ACO/AE or Insurer Overall Organization ID]], 100)/C72, "NA")</f>
        <v>NA</v>
      </c>
      <c r="I175" s="43" t="str">
        <f>IF(C72&lt;&gt;0, SUMIFS(ACOAETME2021[[#All],[Claims: Pharmacy]], ACOAETME2021[[#All],[Insurance Category Code]], B175, ACOAETME2021[[#All],[ACO/AE or Insurer Overall Organization ID]], 100)/C72, "NA")</f>
        <v>NA</v>
      </c>
      <c r="J175" s="45" t="str">
        <f>IF(C72&lt;&gt;0, SUMIFS(ACOAETME2021[[#All],[Claims: Long-Term Care]], ACOAETME2021[[#All],[Insurance Category Code]], B175, ACOAETME2021[[#All],[ACO/AE or Insurer Overall Organization ID]], 100)/C72, "NA")</f>
        <v>NA</v>
      </c>
      <c r="K175" s="45" t="str">
        <f>IF(C72&lt;&gt;0, SUMIFS(ACOAETME2021[[#All],[Claims: Other]], ACOAETME2021[[#All],[Insurance Category Code]], B175, ACOAETME2021[[#All],[ACO/AE or Insurer Overall Organization ID]], 100)/C72, "NA")</f>
        <v>NA</v>
      </c>
      <c r="L175" s="45" t="str">
        <f>IF(C72&lt;&gt;0, SUMIFS(ACOAETME2021[[#All],[TOTAL Non-Claims Expenses]], ACOAETME2021[[#All],[Insurance Category Code]], B175, ACOAETME2021[[#All],[ACO/AE or Insurer Overall Organization ID]], 100)/C72, "NA")</f>
        <v>NA</v>
      </c>
    </row>
    <row r="176" spans="2:24" x14ac:dyDescent="0.35">
      <c r="B176" s="3">
        <v>5</v>
      </c>
      <c r="C176" s="43" t="str">
        <f>IF(C73&lt;&gt;0, SUMIFS(ACOAETME2021[[#All],[TOTAL Non-Truncated Unadjusted Expenses 
(A19+A21)]], ACOAETME2021[[#All],[Insurance Category Code]], B176, ACOAETME2021[[#All],[ACO/AE or Insurer Overall Organization ID]], 100)/C73, "NA")</f>
        <v>NA</v>
      </c>
      <c r="D176" s="44" t="str">
        <f>IF(C73&lt;&gt;0, SUMIFS(ACOAETME2021[[#All],[Claims: Hospital Inpatient]], ACOAETME2021[[#All],[Insurance Category Code]], B176, ACOAETME2021[[#All],[ACO/AE or Insurer Overall Organization ID]], 100)/C73, "NA")</f>
        <v>NA</v>
      </c>
      <c r="E176" s="44" t="str">
        <f>IF(C73&lt;&gt;0, SUMIFS(ACOAETME2021[[#All],[Claims: Hospital Outpatient]], ACOAETME2021[[#All],[Insurance Category Code]], B176, ACOAETME2021[[#All],[ACO/AE or Insurer Overall Organization ID]], 100)/C73, "NA")</f>
        <v>NA</v>
      </c>
      <c r="F176" s="44" t="str">
        <f>IF(C73&lt;&gt;0, SUMIFS(ACOAETME2021[[#All],[Claims: Professional, Primary Care]], ACOAETME2021[[#All],[Insurance Category Code]], B176, ACOAETME2021[[#All],[ACO/AE or Insurer Overall Organization ID]], 100)/C73, "NA")</f>
        <v>NA</v>
      </c>
      <c r="G176" s="44" t="str">
        <f>IF(C73&lt;&gt;0, SUMIFS(ACOAETME2021[[#All],[Claims: Professional, Specialty Care]], ACOAETME2021[[#All],[Insurance Category Code]], B176, ACOAETME2021[[#All],[ACO/AE or Insurer Overall Organization ID]], 100)/C73, "NA")</f>
        <v>NA</v>
      </c>
      <c r="H176" s="44" t="str">
        <f>IF(C73&lt;&gt;0, SUMIFS(ACOAETME2021[[#All],[Claims: Professional Other]], ACOAETME2021[[#All],[Insurance Category Code]], B176, ACOAETME2021[[#All],[ACO/AE or Insurer Overall Organization ID]], 100)/C73, "NA")</f>
        <v>NA</v>
      </c>
      <c r="I176" s="43" t="str">
        <f>IF(C73&lt;&gt;0, SUMIFS(ACOAETME2021[[#All],[Claims: Pharmacy]], ACOAETME2021[[#All],[Insurance Category Code]], B176, ACOAETME2021[[#All],[ACO/AE or Insurer Overall Organization ID]], 100)/C73, "NA")</f>
        <v>NA</v>
      </c>
      <c r="J176" s="45" t="str">
        <f>IF(C73&lt;&gt;0, SUMIFS(ACOAETME2021[[#All],[Claims: Long-Term Care]], ACOAETME2021[[#All],[Insurance Category Code]], B176, ACOAETME2021[[#All],[ACO/AE or Insurer Overall Organization ID]], 100)/C73, "NA")</f>
        <v>NA</v>
      </c>
      <c r="K176" s="45" t="str">
        <f>IF(C73&lt;&gt;0, SUMIFS(ACOAETME2021[[#All],[Claims: Other]], ACOAETME2021[[#All],[Insurance Category Code]], B176, ACOAETME2021[[#All],[ACO/AE or Insurer Overall Organization ID]], 100)/C73, "NA")</f>
        <v>NA</v>
      </c>
      <c r="L176" s="45" t="str">
        <f>IF(C73&lt;&gt;0, SUMIFS(ACOAETME2021[[#All],[TOTAL Non-Claims Expenses]], ACOAETME2021[[#All],[Insurance Category Code]], B176, ACOAETME2021[[#All],[ACO/AE or Insurer Overall Organization ID]], 100)/C73, "NA")</f>
        <v>NA</v>
      </c>
    </row>
    <row r="177" spans="2:12" x14ac:dyDescent="0.35">
      <c r="B177" s="3">
        <v>6</v>
      </c>
      <c r="C177" s="43" t="str">
        <f>IF(C74&lt;&gt;0, SUMIFS(ACOAETME2021[[#All],[TOTAL Non-Truncated Unadjusted Expenses 
(A19+A21)]], ACOAETME2021[[#All],[Insurance Category Code]], B177, ACOAETME2021[[#All],[ACO/AE or Insurer Overall Organization ID]], 100)/C74, "NA")</f>
        <v>NA</v>
      </c>
      <c r="D177" s="44" t="str">
        <f>IF(C74&lt;&gt;0, SUMIFS(ACOAETME2021[[#All],[Claims: Hospital Inpatient]], ACOAETME2021[[#All],[Insurance Category Code]], B177, ACOAETME2021[[#All],[ACO/AE or Insurer Overall Organization ID]], 100)/C74, "NA")</f>
        <v>NA</v>
      </c>
      <c r="E177" s="44" t="str">
        <f>IF(C74&lt;&gt;0, SUMIFS(ACOAETME2021[[#All],[Claims: Hospital Outpatient]], ACOAETME2021[[#All],[Insurance Category Code]], B177, ACOAETME2021[[#All],[ACO/AE or Insurer Overall Organization ID]], 100)/C74, "NA")</f>
        <v>NA</v>
      </c>
      <c r="F177" s="44" t="str">
        <f>IF(C74&lt;&gt;0, SUMIFS(ACOAETME2021[[#All],[Claims: Professional, Primary Care]], ACOAETME2021[[#All],[Insurance Category Code]], B177, ACOAETME2021[[#All],[ACO/AE or Insurer Overall Organization ID]], 100)/C74, "NA")</f>
        <v>NA</v>
      </c>
      <c r="G177" s="44" t="str">
        <f>IF(C74&lt;&gt;0, SUMIFS(ACOAETME2021[[#All],[Claims: Professional, Specialty Care]], ACOAETME2021[[#All],[Insurance Category Code]], B177, ACOAETME2021[[#All],[ACO/AE or Insurer Overall Organization ID]], 100)/C74, "NA")</f>
        <v>NA</v>
      </c>
      <c r="H177" s="44" t="str">
        <f>IF(C74&lt;&gt;0, SUMIFS(ACOAETME2021[[#All],[Claims: Professional Other]], ACOAETME2021[[#All],[Insurance Category Code]], B177, ACOAETME2021[[#All],[ACO/AE or Insurer Overall Organization ID]], 100)/C74, "NA")</f>
        <v>NA</v>
      </c>
      <c r="I177" s="43" t="str">
        <f>IF(C74&lt;&gt;0, SUMIFS(ACOAETME2021[[#All],[Claims: Pharmacy]], ACOAETME2021[[#All],[Insurance Category Code]], B177, ACOAETME2021[[#All],[ACO/AE or Insurer Overall Organization ID]], 100)/C74, "NA")</f>
        <v>NA</v>
      </c>
      <c r="J177" s="45" t="str">
        <f>IF(C74&lt;&gt;0, SUMIFS(ACOAETME2021[[#All],[Claims: Long-Term Care]], ACOAETME2021[[#All],[Insurance Category Code]], B177, ACOAETME2021[[#All],[ACO/AE or Insurer Overall Organization ID]], 100)/C74, "NA")</f>
        <v>NA</v>
      </c>
      <c r="K177" s="45" t="str">
        <f>IF(C74&lt;&gt;0, SUMIFS(ACOAETME2021[[#All],[Claims: Other]], ACOAETME2021[[#All],[Insurance Category Code]], B177, ACOAETME2021[[#All],[ACO/AE or Insurer Overall Organization ID]], 100)/C74, "NA")</f>
        <v>NA</v>
      </c>
      <c r="L177" s="45" t="str">
        <f>IF(C74&lt;&gt;0, SUMIFS(ACOAETME2021[[#All],[TOTAL Non-Claims Expenses]], ACOAETME2021[[#All],[Insurance Category Code]], B177, ACOAETME2021[[#All],[ACO/AE or Insurer Overall Organization ID]], 100)/C74, "NA")</f>
        <v>NA</v>
      </c>
    </row>
    <row r="178" spans="2:12" x14ac:dyDescent="0.35">
      <c r="B178" s="3">
        <v>7</v>
      </c>
      <c r="C178" s="43" t="str">
        <f>IF(C75&lt;&gt;0, SUMIFS(ACOAETME2021[[#All],[TOTAL Non-Truncated Unadjusted Expenses 
(A19+A21)]], ACOAETME2021[[#All],[Insurance Category Code]], B178, ACOAETME2021[[#All],[ACO/AE or Insurer Overall Organization ID]], 100)/C75, "NA")</f>
        <v>NA</v>
      </c>
      <c r="D178" s="44" t="str">
        <f>IF(C75&lt;&gt;0, SUMIFS(ACOAETME2021[[#All],[Claims: Hospital Inpatient]], ACOAETME2021[[#All],[Insurance Category Code]], B178, ACOAETME2021[[#All],[ACO/AE or Insurer Overall Organization ID]], 100)/C75, "NA")</f>
        <v>NA</v>
      </c>
      <c r="E178" s="44" t="str">
        <f>IF(C75&lt;&gt;0, SUMIFS(ACOAETME2021[[#All],[Claims: Hospital Outpatient]], ACOAETME2021[[#All],[Insurance Category Code]], B178, ACOAETME2021[[#All],[ACO/AE or Insurer Overall Organization ID]], 100)/C75, "NA")</f>
        <v>NA</v>
      </c>
      <c r="F178" s="44" t="str">
        <f>IF(C75&lt;&gt;0, SUMIFS(ACOAETME2021[[#All],[Claims: Professional, Primary Care]], ACOAETME2021[[#All],[Insurance Category Code]], B178, ACOAETME2021[[#All],[ACO/AE or Insurer Overall Organization ID]], 100)/C75, "NA")</f>
        <v>NA</v>
      </c>
      <c r="G178" s="44" t="str">
        <f>IF(C75&lt;&gt;0, SUMIFS(ACOAETME2021[[#All],[Claims: Professional, Specialty Care]], ACOAETME2021[[#All],[Insurance Category Code]], B178, ACOAETME2021[[#All],[ACO/AE or Insurer Overall Organization ID]], 100)/C75, "NA")</f>
        <v>NA</v>
      </c>
      <c r="H178" s="44" t="str">
        <f>IF(C75&lt;&gt;0, SUMIFS(ACOAETME2021[[#All],[Claims: Professional Other]], ACOAETME2021[[#All],[Insurance Category Code]], B178, ACOAETME2021[[#All],[ACO/AE or Insurer Overall Organization ID]], 100)/C75, "NA")</f>
        <v>NA</v>
      </c>
      <c r="I178" s="43" t="str">
        <f>IF(C75&lt;&gt;0, SUMIFS(ACOAETME2021[[#All],[Claims: Pharmacy]], ACOAETME2021[[#All],[Insurance Category Code]], B178, ACOAETME2021[[#All],[ACO/AE or Insurer Overall Organization ID]], 100)/C75, "NA")</f>
        <v>NA</v>
      </c>
      <c r="J178" s="45" t="str">
        <f>IF(C75&lt;&gt;0, SUMIFS(ACOAETME2021[[#All],[Claims: Long-Term Care]], ACOAETME2021[[#All],[Insurance Category Code]], B178, ACOAETME2021[[#All],[ACO/AE or Insurer Overall Organization ID]], 100)/C75, "NA")</f>
        <v>NA</v>
      </c>
      <c r="K178" s="45" t="str">
        <f>IF(C75&lt;&gt;0, SUMIFS(ACOAETME2021[[#All],[Claims: Other]], ACOAETME2021[[#All],[Insurance Category Code]], B178, ACOAETME2021[[#All],[ACO/AE or Insurer Overall Organization ID]], 100)/C75, "NA")</f>
        <v>NA</v>
      </c>
      <c r="L178" s="45" t="str">
        <f>IF(C75&lt;&gt;0, SUMIFS(ACOAETME2021[[#All],[TOTAL Non-Claims Expenses]], ACOAETME2021[[#All],[Insurance Category Code]], B178, ACOAETME2021[[#All],[ACO/AE or Insurer Overall Organization ID]], 100)/C75, "NA")</f>
        <v>NA</v>
      </c>
    </row>
    <row r="179" spans="2:12" ht="58" x14ac:dyDescent="0.35">
      <c r="B179" s="7" t="s">
        <v>719</v>
      </c>
      <c r="C179" s="162" t="str">
        <f>IF(C175="NA", "NA", IF(AND(C175&gt;10,C174&gt;10),IF(ABS(C175/C174-1)&lt;10%,"No","Yes"), "NA - small base"))</f>
        <v>NA</v>
      </c>
      <c r="D179" s="162" t="str">
        <f>IF(D175="NA", "NA",IF(AND(D175&gt;10,D174&gt;10),IF(ABS(D175/D174-1)&lt;10%,"No","Yes"), "NA - small base"))</f>
        <v>NA</v>
      </c>
      <c r="E179" s="162" t="str">
        <f t="shared" ref="E179:L179" si="44">IF(E175="NA", "NA",IF(AND(E175&gt;10,E174&gt;10),IF(ABS(E175/E174-1)&lt;10%,"No","Yes"), "NA - small base"))</f>
        <v>NA</v>
      </c>
      <c r="F179" s="162" t="str">
        <f t="shared" si="44"/>
        <v>NA</v>
      </c>
      <c r="G179" s="162" t="str">
        <f t="shared" si="44"/>
        <v>NA</v>
      </c>
      <c r="H179" s="162" t="str">
        <f t="shared" si="44"/>
        <v>NA</v>
      </c>
      <c r="I179" s="162" t="str">
        <f t="shared" si="44"/>
        <v>NA</v>
      </c>
      <c r="J179" s="162" t="str">
        <f t="shared" si="44"/>
        <v>NA</v>
      </c>
      <c r="K179" s="162" t="str">
        <f t="shared" si="44"/>
        <v>NA</v>
      </c>
      <c r="L179" s="162" t="str">
        <f t="shared" si="44"/>
        <v>NA</v>
      </c>
    </row>
    <row r="180" spans="2:12" x14ac:dyDescent="0.35">
      <c r="B180" s="7" t="s">
        <v>721</v>
      </c>
      <c r="C180" s="454" t="str">
        <f t="shared" ref="C180:L180" si="45">IF(C179="Yes",ABS(C175/C174-1), "NA")</f>
        <v>NA</v>
      </c>
      <c r="D180" s="454" t="str">
        <f t="shared" si="45"/>
        <v>NA</v>
      </c>
      <c r="E180" s="454" t="str">
        <f t="shared" si="45"/>
        <v>NA</v>
      </c>
      <c r="F180" s="454" t="str">
        <f t="shared" si="45"/>
        <v>NA</v>
      </c>
      <c r="G180" s="454" t="str">
        <f t="shared" si="45"/>
        <v>NA</v>
      </c>
      <c r="H180" s="454" t="str">
        <f t="shared" si="45"/>
        <v>NA</v>
      </c>
      <c r="I180" s="454" t="str">
        <f t="shared" si="45"/>
        <v>NA</v>
      </c>
      <c r="J180" s="454" t="str">
        <f t="shared" si="45"/>
        <v>NA</v>
      </c>
      <c r="K180" s="454" t="str">
        <f t="shared" si="45"/>
        <v>NA</v>
      </c>
      <c r="L180" s="454" t="str">
        <f t="shared" si="45"/>
        <v>NA</v>
      </c>
    </row>
    <row r="183" spans="2:12" x14ac:dyDescent="0.35">
      <c r="B183" s="13" t="s">
        <v>725</v>
      </c>
    </row>
    <row r="184" spans="2:12" x14ac:dyDescent="0.35">
      <c r="B184" s="21" t="s">
        <v>11</v>
      </c>
      <c r="F184" s="5"/>
      <c r="G184" s="5"/>
      <c r="I184" s="12"/>
    </row>
    <row r="185" spans="2:12" ht="29" x14ac:dyDescent="0.35">
      <c r="B185" s="202" t="s">
        <v>3</v>
      </c>
      <c r="C185" s="202" t="s">
        <v>594</v>
      </c>
      <c r="D185" s="202" t="s">
        <v>12</v>
      </c>
      <c r="E185" s="202" t="s">
        <v>13</v>
      </c>
      <c r="F185" s="202" t="s">
        <v>14</v>
      </c>
      <c r="G185" s="202" t="s">
        <v>15</v>
      </c>
      <c r="H185" s="202" t="s">
        <v>16</v>
      </c>
      <c r="I185" s="202" t="s">
        <v>17</v>
      </c>
      <c r="J185" s="202" t="s">
        <v>18</v>
      </c>
      <c r="K185" s="202" t="s">
        <v>19</v>
      </c>
      <c r="L185" s="202" t="s">
        <v>20</v>
      </c>
    </row>
    <row r="186" spans="2:12" x14ac:dyDescent="0.35">
      <c r="B186" s="3">
        <v>1</v>
      </c>
      <c r="C186" s="43" t="str">
        <f>IF(G69&lt;&gt;0, SUMIFS(ACOAETME2022[[#All],[TOTAL Non-Truncated Unadjusted Expenses 
(A19+A21)]], ACOAETME2022[[#All],[Insurance Category Code]], B186, ACOAETME2022[[#All],[ACO/AE or Insurer Overall Organization ID]], 100)/G69, "NA")</f>
        <v>NA</v>
      </c>
      <c r="D186" s="44" t="str">
        <f>IF(G69&lt;&gt;0, SUMIFS(ACOAETME2022[[#All],[Claims: Hospital Inpatient]], ACOAETME2022[[#All],[Insurance Category Code]], B186, ACOAETME2022[[#All],[ACO/AE or Insurer Overall Organization ID]], 100)/G69, "NA")</f>
        <v>NA</v>
      </c>
      <c r="E186" s="44" t="str">
        <f>IF(G69&lt;&gt;0, SUMIFS(ACOAETME2022[[#All],[Claims: Hospital Outpatient]], ACOAETME2022[[#All],[Insurance Category Code]], B186, ACOAETME2022[[#All],[ACO/AE or Insurer Overall Organization ID]], 100)/G69, "NA")</f>
        <v>NA</v>
      </c>
      <c r="F186" s="44" t="str">
        <f>IF(G69&lt;&gt;0, SUMIFS(ACOAETME2022[[#All],[Claims: Professional, Primary Care]], ACOAETME2022[[#All],[Insurance Category Code]], B186, ACOAETME2022[[#All],[ACO/AE or Insurer Overall Organization ID]], 100)/G69, "NA")</f>
        <v>NA</v>
      </c>
      <c r="G186" s="44" t="str">
        <f>IF(G69&lt;&gt;0, SUMIFS(ACOAETME2022[[#All],[Claims: Professional, Specialty Care]], ACOAETME2022[[#All],[Insurance Category Code]], B186, ACOAETME2022[[#All],[ACO/AE or Insurer Overall Organization ID]], 100)/G69, "NA")</f>
        <v>NA</v>
      </c>
      <c r="H186" s="44" t="str">
        <f>IF(G69&lt;&gt;0, SUMIFS(ACOAETME2022[[#All],[Claims: Professional Other]], ACOAETME2022[[#All],[Insurance Category Code]], B186, ACOAETME2022[[#All],[ACO/AE or Insurer Overall Organization ID]], 100)/G69, "NA")</f>
        <v>NA</v>
      </c>
      <c r="I186" s="43" t="str">
        <f>IF(G69&lt;&gt;0, SUMIFS(ACOAETME2022[[#All],[Claims: Pharmacy]], ACOAETME2022[[#All],[Insurance Category Code]], B186, ACOAETME2022[[#All],[ACO/AE or Insurer Overall Organization ID]], 100)/G69, "NA")</f>
        <v>NA</v>
      </c>
      <c r="J186" s="45" t="str">
        <f>IF(G69&lt;&gt;0, SUMIFS(ACOAETME2022[[#All],[Claims: Long-Term Care]], ACOAETME2022[[#All],[Insurance Category Code]], B186, ACOAETME2022[[#All],[ACO/AE or Insurer Overall Organization ID]], 100)/G69, "NA")</f>
        <v>NA</v>
      </c>
      <c r="K186" s="45" t="str">
        <f>IF(G69&lt;&gt;0, SUMIFS(ACOAETME2022[[#All],[Claims: Other]], ACOAETME2022[[#All],[Insurance Category Code]], B186, ACOAETME2022[[#All],[ACO/AE or Insurer Overall Organization ID]], 100)/G69, "NA")</f>
        <v>NA</v>
      </c>
      <c r="L186" s="45" t="str">
        <f>IF(G69&lt;&gt;0, SUMIFS(ACOAETME2022[[#All],[TOTAL Non-Claims Expenses]], ACOAETME2022[[#All],[Insurance Category Code]], B186, ACOAETME2022[[#All],[ACO/AE or Insurer Overall Organization ID]], 100)/G69, "NA")</f>
        <v>NA</v>
      </c>
    </row>
    <row r="187" spans="2:12" x14ac:dyDescent="0.35">
      <c r="B187" s="3">
        <v>2</v>
      </c>
      <c r="C187" s="43" t="str">
        <f>IF(G70&lt;&gt;0, SUMIFS(ACOAETME2022[[#All],[TOTAL Non-Truncated Unadjusted Expenses 
(A19+A21)]], ACOAETME2022[[#All],[Insurance Category Code]], B187, ACOAETME2022[[#All],[ACO/AE or Insurer Overall Organization ID]], 100)/G70, "NA")</f>
        <v>NA</v>
      </c>
      <c r="D187" s="44" t="str">
        <f>IF(G70&lt;&gt;0, SUMIFS(ACOAETME2022[[#All],[Claims: Hospital Inpatient]], ACOAETME2022[[#All],[Insurance Category Code]], B187, ACOAETME2022[[#All],[ACO/AE or Insurer Overall Organization ID]], 100)/G70, "NA")</f>
        <v>NA</v>
      </c>
      <c r="E187" s="44" t="str">
        <f>IF(G70&lt;&gt;0, SUMIFS(ACOAETME2022[[#All],[Claims: Hospital Outpatient]], ACOAETME2022[[#All],[Insurance Category Code]], B187, ACOAETME2022[[#All],[ACO/AE or Insurer Overall Organization ID]], 100)/G70, "NA")</f>
        <v>NA</v>
      </c>
      <c r="F187" s="44" t="str">
        <f>IF(G70&lt;&gt;0, SUMIFS(ACOAETME2022[[#All],[Claims: Professional, Primary Care]], ACOAETME2022[[#All],[Insurance Category Code]], B187, ACOAETME2022[[#All],[ACO/AE or Insurer Overall Organization ID]], 100)/G70, "NA")</f>
        <v>NA</v>
      </c>
      <c r="G187" s="44" t="str">
        <f>IF(G70&lt;&gt;0, SUMIFS(ACOAETME2022[[#All],[Claims: Professional, Specialty Care]], ACOAETME2022[[#All],[Insurance Category Code]], B187, ACOAETME2022[[#All],[ACO/AE or Insurer Overall Organization ID]], 100)/G70, "NA")</f>
        <v>NA</v>
      </c>
      <c r="H187" s="44" t="str">
        <f>IF(G70&lt;&gt;0, SUMIFS(ACOAETME2022[[#All],[Claims: Professional Other]], ACOAETME2022[[#All],[Insurance Category Code]], B187, ACOAETME2022[[#All],[ACO/AE or Insurer Overall Organization ID]], 100)/G70, "NA")</f>
        <v>NA</v>
      </c>
      <c r="I187" s="43" t="str">
        <f>IF(G70&lt;&gt;0, SUMIFS(ACOAETME2022[[#All],[Claims: Pharmacy]], ACOAETME2022[[#All],[Insurance Category Code]], B187, ACOAETME2022[[#All],[ACO/AE or Insurer Overall Organization ID]], 100)/G70, "NA")</f>
        <v>NA</v>
      </c>
      <c r="J187" s="45" t="str">
        <f>IF(G70&lt;&gt;0, SUMIFS(ACOAETME2022[[#All],[Claims: Long-Term Care]], ACOAETME2022[[#All],[Insurance Category Code]], B187, ACOAETME2022[[#All],[ACO/AE or Insurer Overall Organization ID]], 100)/G70, "NA")</f>
        <v>NA</v>
      </c>
      <c r="K187" s="45" t="str">
        <f>IF(G70&lt;&gt;0, SUMIFS(ACOAETME2022[[#All],[Claims: Other]], ACOAETME2022[[#All],[Insurance Category Code]], B187, ACOAETME2022[[#All],[ACO/AE or Insurer Overall Organization ID]], 100)/G70, "NA")</f>
        <v>NA</v>
      </c>
      <c r="L187" s="45" t="str">
        <f>IF(G70&lt;&gt;0, SUMIFS(ACOAETME2022[[#All],[TOTAL Non-Claims Expenses]], ACOAETME2022[[#All],[Insurance Category Code]], B187, ACOAETME2022[[#All],[ACO/AE or Insurer Overall Organization ID]], 100)/G70, "NA")</f>
        <v>NA</v>
      </c>
    </row>
    <row r="188" spans="2:12" x14ac:dyDescent="0.35">
      <c r="B188" s="3">
        <v>3</v>
      </c>
      <c r="C188" s="43" t="str">
        <f>IF(G71&lt;&gt;0, SUMIFS(ACOAETME2022[[#All],[TOTAL Non-Truncated Unadjusted Expenses 
(A19+A21)]], ACOAETME2022[[#All],[Insurance Category Code]], B188, ACOAETME2022[[#All],[ACO/AE or Insurer Overall Organization ID]], 100)/G71, "NA")</f>
        <v>NA</v>
      </c>
      <c r="D188" s="44" t="str">
        <f>IF(G71&lt;&gt;0, SUMIFS(ACOAETME2022[[#All],[Claims: Hospital Inpatient]], ACOAETME2022[[#All],[Insurance Category Code]], B188, ACOAETME2022[[#All],[ACO/AE or Insurer Overall Organization ID]], 100)/G71, "NA")</f>
        <v>NA</v>
      </c>
      <c r="E188" s="44" t="str">
        <f>IF(G71&lt;&gt;0, SUMIFS(ACOAETME2022[[#All],[Claims: Hospital Outpatient]], ACOAETME2022[[#All],[Insurance Category Code]], B188, ACOAETME2022[[#All],[ACO/AE or Insurer Overall Organization ID]], 100)/G71, "NA")</f>
        <v>NA</v>
      </c>
      <c r="F188" s="44" t="str">
        <f>IF(G71&lt;&gt;0, SUMIFS(ACOAETME2022[[#All],[Claims: Professional, Primary Care]], ACOAETME2022[[#All],[Insurance Category Code]], B188, ACOAETME2022[[#All],[ACO/AE or Insurer Overall Organization ID]], 100)/G71, "NA")</f>
        <v>NA</v>
      </c>
      <c r="G188" s="44" t="str">
        <f>IF(G71&lt;&gt;0, SUMIFS(ACOAETME2022[[#All],[Claims: Professional, Specialty Care]], ACOAETME2022[[#All],[Insurance Category Code]], B188, ACOAETME2022[[#All],[ACO/AE or Insurer Overall Organization ID]], 100)/G71, "NA")</f>
        <v>NA</v>
      </c>
      <c r="H188" s="44" t="str">
        <f>IF(G71&lt;&gt;0, SUMIFS(ACOAETME2022[[#All],[Claims: Professional Other]], ACOAETME2022[[#All],[Insurance Category Code]], B188, ACOAETME2022[[#All],[ACO/AE or Insurer Overall Organization ID]], 100)/G71, "NA")</f>
        <v>NA</v>
      </c>
      <c r="I188" s="43" t="str">
        <f>IF(G71&lt;&gt;0, SUMIFS(ACOAETME2022[[#All],[Claims: Pharmacy]], ACOAETME2022[[#All],[Insurance Category Code]], B188, ACOAETME2022[[#All],[ACO/AE or Insurer Overall Organization ID]], 100)/G71, "NA")</f>
        <v>NA</v>
      </c>
      <c r="J188" s="45" t="str">
        <f>IF(G71&lt;&gt;0, SUMIFS(ACOAETME2022[[#All],[Claims: Long-Term Care]], ACOAETME2022[[#All],[Insurance Category Code]], B188, ACOAETME2022[[#All],[ACO/AE or Insurer Overall Organization ID]], 100)/G71, "NA")</f>
        <v>NA</v>
      </c>
      <c r="K188" s="45" t="str">
        <f>IF(G71&lt;&gt;0, SUMIFS(ACOAETME2022[[#All],[Claims: Other]], ACOAETME2022[[#All],[Insurance Category Code]], B188, ACOAETME2022[[#All],[ACO/AE or Insurer Overall Organization ID]], 100)/G71, "NA")</f>
        <v>NA</v>
      </c>
      <c r="L188" s="45" t="str">
        <f>IF(G71&lt;&gt;0, SUMIFS(ACOAETME2022[[#All],[TOTAL Non-Claims Expenses]], ACOAETME2022[[#All],[Insurance Category Code]], B188, ACOAETME2022[[#All],[ACO/AE or Insurer Overall Organization ID]], 100)/G71, "NA")</f>
        <v>NA</v>
      </c>
    </row>
    <row r="189" spans="2:12" x14ac:dyDescent="0.35">
      <c r="B189" s="3">
        <v>4</v>
      </c>
      <c r="C189" s="43" t="str">
        <f>IF(G72&lt;&gt;0, SUMIFS(ACOAETME2022[[#All],[TOTAL Non-Truncated Unadjusted Expenses 
(A19+A21)]], ACOAETME2022[[#All],[Insurance Category Code]], B189, ACOAETME2022[[#All],[ACO/AE or Insurer Overall Organization ID]], 100)/G72, "NA")</f>
        <v>NA</v>
      </c>
      <c r="D189" s="44" t="str">
        <f>IF(G72&lt;&gt;0, SUMIFS(ACOAETME2022[[#All],[Claims: Hospital Inpatient]], ACOAETME2022[[#All],[Insurance Category Code]], B189, ACOAETME2022[[#All],[ACO/AE or Insurer Overall Organization ID]], 100)/G72, "NA")</f>
        <v>NA</v>
      </c>
      <c r="E189" s="44" t="str">
        <f>IF(G72&lt;&gt;0, SUMIFS(ACOAETME2022[[#All],[Claims: Hospital Outpatient]], ACOAETME2022[[#All],[Insurance Category Code]], B189, ACOAETME2022[[#All],[ACO/AE or Insurer Overall Organization ID]], 100)/G72, "NA")</f>
        <v>NA</v>
      </c>
      <c r="F189" s="44" t="str">
        <f>IF(G72&lt;&gt;0, SUMIFS(ACOAETME2022[[#All],[Claims: Professional, Primary Care]], ACOAETME2022[[#All],[Insurance Category Code]], B189, ACOAETME2022[[#All],[ACO/AE or Insurer Overall Organization ID]], 100)/G72, "NA")</f>
        <v>NA</v>
      </c>
      <c r="G189" s="44" t="str">
        <f>IF(G72&lt;&gt;0, SUMIFS(ACOAETME2022[[#All],[Claims: Professional, Specialty Care]], ACOAETME2022[[#All],[Insurance Category Code]], B189, ACOAETME2022[[#All],[ACO/AE or Insurer Overall Organization ID]], 100)/G72, "NA")</f>
        <v>NA</v>
      </c>
      <c r="H189" s="44" t="str">
        <f>IF(G72&lt;&gt;0, SUMIFS(ACOAETME2022[[#All],[Claims: Professional Other]], ACOAETME2022[[#All],[Insurance Category Code]], B189, ACOAETME2022[[#All],[ACO/AE or Insurer Overall Organization ID]], 100)/G72, "NA")</f>
        <v>NA</v>
      </c>
      <c r="I189" s="43" t="str">
        <f>IF(G72&lt;&gt;0, SUMIFS(ACOAETME2022[[#All],[Claims: Pharmacy]], ACOAETME2022[[#All],[Insurance Category Code]], B189, ACOAETME2022[[#All],[ACO/AE or Insurer Overall Organization ID]], 100)/G72, "NA")</f>
        <v>NA</v>
      </c>
      <c r="J189" s="45" t="str">
        <f>IF(G72&lt;&gt;0, SUMIFS(ACOAETME2022[[#All],[Claims: Long-Term Care]], ACOAETME2022[[#All],[Insurance Category Code]], B189, ACOAETME2022[[#All],[ACO/AE or Insurer Overall Organization ID]], 100)/G72, "NA")</f>
        <v>NA</v>
      </c>
      <c r="K189" s="45" t="str">
        <f>IF(G72&lt;&gt;0, SUMIFS(ACOAETME2022[[#All],[Claims: Other]], ACOAETME2022[[#All],[Insurance Category Code]], B189, ACOAETME2022[[#All],[ACO/AE or Insurer Overall Organization ID]], 100)/G72, "NA")</f>
        <v>NA</v>
      </c>
      <c r="L189" s="45" t="str">
        <f>IF(G72&lt;&gt;0, SUMIFS(ACOAETME2022[[#All],[TOTAL Non-Claims Expenses]], ACOAETME2022[[#All],[Insurance Category Code]], B189, ACOAETME2022[[#All],[ACO/AE or Insurer Overall Organization ID]], 100)/G72, "NA")</f>
        <v>NA</v>
      </c>
    </row>
    <row r="190" spans="2:12" x14ac:dyDescent="0.35">
      <c r="B190" s="3">
        <v>5</v>
      </c>
      <c r="C190" s="43" t="str">
        <f>IF(G73&lt;&gt;0, SUMIFS(ACOAETME2022[[#All],[TOTAL Non-Truncated Unadjusted Expenses 
(A19+A21)]], ACOAETME2022[[#All],[Insurance Category Code]], B190, ACOAETME2022[[#All],[ACO/AE or Insurer Overall Organization ID]], 100)/G73, "NA")</f>
        <v>NA</v>
      </c>
      <c r="D190" s="44" t="str">
        <f>IF(G73&lt;&gt;0, SUMIFS(ACOAETME2022[[#All],[Claims: Hospital Inpatient]], ACOAETME2022[[#All],[Insurance Category Code]], B190, ACOAETME2022[[#All],[ACO/AE or Insurer Overall Organization ID]], 100)/G73, "NA")</f>
        <v>NA</v>
      </c>
      <c r="E190" s="44" t="str">
        <f>IF(G73&lt;&gt;0, SUMIFS(ACOAETME2022[[#All],[Claims: Hospital Outpatient]], ACOAETME2022[[#All],[Insurance Category Code]], B190, ACOAETME2022[[#All],[ACO/AE or Insurer Overall Organization ID]], 100)/G73, "NA")</f>
        <v>NA</v>
      </c>
      <c r="F190" s="44" t="str">
        <f>IF(G73&lt;&gt;0, SUMIFS(ACOAETME2022[[#All],[Claims: Professional, Primary Care]], ACOAETME2022[[#All],[Insurance Category Code]], B190, ACOAETME2022[[#All],[ACO/AE or Insurer Overall Organization ID]], 100)/G73, "NA")</f>
        <v>NA</v>
      </c>
      <c r="G190" s="44" t="str">
        <f>IF(G73&lt;&gt;0, SUMIFS(ACOAETME2022[[#All],[Claims: Professional, Specialty Care]], ACOAETME2022[[#All],[Insurance Category Code]], B190, ACOAETME2022[[#All],[ACO/AE or Insurer Overall Organization ID]], 100)/G73, "NA")</f>
        <v>NA</v>
      </c>
      <c r="H190" s="44" t="str">
        <f>IF(G73&lt;&gt;0, SUMIFS(ACOAETME2022[[#All],[Claims: Professional Other]], ACOAETME2022[[#All],[Insurance Category Code]], B190, ACOAETME2022[[#All],[ACO/AE or Insurer Overall Organization ID]], 100)/G73, "NA")</f>
        <v>NA</v>
      </c>
      <c r="I190" s="43" t="str">
        <f>IF(G73&lt;&gt;0, SUMIFS(ACOAETME2022[[#All],[Claims: Pharmacy]], ACOAETME2022[[#All],[Insurance Category Code]], B190, ACOAETME2022[[#All],[ACO/AE or Insurer Overall Organization ID]], 100)/G73, "NA")</f>
        <v>NA</v>
      </c>
      <c r="J190" s="45" t="str">
        <f>IF(G73&lt;&gt;0, SUMIFS(ACOAETME2022[[#All],[Claims: Long-Term Care]], ACOAETME2022[[#All],[Insurance Category Code]], B190, ACOAETME2022[[#All],[ACO/AE or Insurer Overall Organization ID]], 100)/G73, "NA")</f>
        <v>NA</v>
      </c>
      <c r="K190" s="45" t="str">
        <f>IF(G73&lt;&gt;0, SUMIFS(ACOAETME2022[[#All],[Claims: Other]], ACOAETME2022[[#All],[Insurance Category Code]], B190, ACOAETME2022[[#All],[ACO/AE or Insurer Overall Organization ID]], 100)/G73, "NA")</f>
        <v>NA</v>
      </c>
      <c r="L190" s="45" t="str">
        <f>IF(G73&lt;&gt;0, SUMIFS(ACOAETME2022[[#All],[TOTAL Non-Claims Expenses]], ACOAETME2022[[#All],[Insurance Category Code]], B190, ACOAETME2022[[#All],[ACO/AE or Insurer Overall Organization ID]], 100)/G73, "NA")</f>
        <v>NA</v>
      </c>
    </row>
    <row r="191" spans="2:12" x14ac:dyDescent="0.35">
      <c r="B191" s="3">
        <v>6</v>
      </c>
      <c r="C191" s="43" t="str">
        <f>IF(G74&lt;&gt;0, SUMIFS(ACOAETME2022[[#All],[TOTAL Non-Truncated Unadjusted Expenses 
(A19+A21)]], ACOAETME2022[[#All],[Insurance Category Code]], B191, ACOAETME2022[[#All],[ACO/AE or Insurer Overall Organization ID]], 100)/G74, "NA")</f>
        <v>NA</v>
      </c>
      <c r="D191" s="44" t="str">
        <f>IF(G74&lt;&gt;0, SUMIFS(ACOAETME2022[[#All],[Claims: Hospital Inpatient]], ACOAETME2022[[#All],[Insurance Category Code]], B191, ACOAETME2022[[#All],[ACO/AE or Insurer Overall Organization ID]], 100)/G74, "NA")</f>
        <v>NA</v>
      </c>
      <c r="E191" s="44" t="str">
        <f>IF(G74&lt;&gt;0, SUMIFS(ACOAETME2022[[#All],[Claims: Hospital Outpatient]], ACOAETME2022[[#All],[Insurance Category Code]], B191, ACOAETME2022[[#All],[ACO/AE or Insurer Overall Organization ID]], 100)/G74, "NA")</f>
        <v>NA</v>
      </c>
      <c r="F191" s="44" t="str">
        <f>IF(G74&lt;&gt;0, SUMIFS(ACOAETME2022[[#All],[Claims: Professional, Primary Care]], ACOAETME2022[[#All],[Insurance Category Code]], B191, ACOAETME2022[[#All],[ACO/AE or Insurer Overall Organization ID]], 100)/G74, "NA")</f>
        <v>NA</v>
      </c>
      <c r="G191" s="44" t="str">
        <f>IF(G74&lt;&gt;0, SUMIFS(ACOAETME2022[[#All],[Claims: Professional, Specialty Care]], ACOAETME2022[[#All],[Insurance Category Code]], B191, ACOAETME2022[[#All],[ACO/AE or Insurer Overall Organization ID]], 100)/G74, "NA")</f>
        <v>NA</v>
      </c>
      <c r="H191" s="44" t="str">
        <f>IF(G74&lt;&gt;0, SUMIFS(ACOAETME2022[[#All],[Claims: Professional Other]], ACOAETME2022[[#All],[Insurance Category Code]], B191, ACOAETME2022[[#All],[ACO/AE or Insurer Overall Organization ID]], 100)/G74, "NA")</f>
        <v>NA</v>
      </c>
      <c r="I191" s="43" t="str">
        <f>IF(G74&lt;&gt;0, SUMIFS(ACOAETME2022[[#All],[Claims: Pharmacy]], ACOAETME2022[[#All],[Insurance Category Code]], B191, ACOAETME2022[[#All],[ACO/AE or Insurer Overall Organization ID]], 100)/G74, "NA")</f>
        <v>NA</v>
      </c>
      <c r="J191" s="45" t="str">
        <f>IF(G74&lt;&gt;0, SUMIFS(ACOAETME2022[[#All],[Claims: Long-Term Care]], ACOAETME2022[[#All],[Insurance Category Code]], B191, ACOAETME2022[[#All],[ACO/AE or Insurer Overall Organization ID]], 100)/G74, "NA")</f>
        <v>NA</v>
      </c>
      <c r="K191" s="45" t="str">
        <f>IF(G74&lt;&gt;0, SUMIFS(ACOAETME2022[[#All],[Claims: Other]], ACOAETME2022[[#All],[Insurance Category Code]], B191, ACOAETME2022[[#All],[ACO/AE or Insurer Overall Organization ID]], 100)/G74, "NA")</f>
        <v>NA</v>
      </c>
      <c r="L191" s="45" t="str">
        <f>IF(G74&lt;&gt;0, SUMIFS(ACOAETME2022[[#All],[TOTAL Non-Claims Expenses]], ACOAETME2022[[#All],[Insurance Category Code]], B191, ACOAETME2022[[#All],[ACO/AE or Insurer Overall Organization ID]], 100)/G74, "NA")</f>
        <v>NA</v>
      </c>
    </row>
    <row r="192" spans="2:12" x14ac:dyDescent="0.35">
      <c r="B192" s="3">
        <v>7</v>
      </c>
      <c r="C192" s="43" t="str">
        <f>IF(G75&lt;&gt;0, SUMIFS(ACOAETME2022[[#All],[TOTAL Non-Truncated Unadjusted Expenses 
(A19+A21)]], ACOAETME2022[[#All],[Insurance Category Code]], B192, ACOAETME2022[[#All],[ACO/AE or Insurer Overall Organization ID]], 100)/G75, "NA")</f>
        <v>NA</v>
      </c>
      <c r="D192" s="44" t="str">
        <f>IF(G75&lt;&gt;0, SUMIFS(ACOAETME2022[[#All],[Claims: Hospital Inpatient]], ACOAETME2022[[#All],[Insurance Category Code]], B192, ACOAETME2022[[#All],[ACO/AE or Insurer Overall Organization ID]], 100)/G75, "NA")</f>
        <v>NA</v>
      </c>
      <c r="E192" s="44" t="str">
        <f>IF(G75&lt;&gt;0, SUMIFS(ACOAETME2022[[#All],[Claims: Hospital Outpatient]], ACOAETME2022[[#All],[Insurance Category Code]], B192, ACOAETME2022[[#All],[ACO/AE or Insurer Overall Organization ID]], 100)/G75, "NA")</f>
        <v>NA</v>
      </c>
      <c r="F192" s="44" t="str">
        <f>IF(G75&lt;&gt;0, SUMIFS(ACOAETME2022[[#All],[Claims: Professional, Primary Care]], ACOAETME2022[[#All],[Insurance Category Code]], B192, ACOAETME2022[[#All],[ACO/AE or Insurer Overall Organization ID]], 100)/G75, "NA")</f>
        <v>NA</v>
      </c>
      <c r="G192" s="44" t="str">
        <f>IF(G75&lt;&gt;0, SUMIFS(ACOAETME2022[[#All],[Claims: Professional, Specialty Care]], ACOAETME2022[[#All],[Insurance Category Code]], B192, ACOAETME2022[[#All],[ACO/AE or Insurer Overall Organization ID]], 100)/G75, "NA")</f>
        <v>NA</v>
      </c>
      <c r="H192" s="44" t="str">
        <f>IF(G75&lt;&gt;0, SUMIFS(ACOAETME2022[[#All],[Claims: Professional Other]], ACOAETME2022[[#All],[Insurance Category Code]], B192, ACOAETME2022[[#All],[ACO/AE or Insurer Overall Organization ID]], 100)/G75, "NA")</f>
        <v>NA</v>
      </c>
      <c r="I192" s="43" t="str">
        <f>IF(G75&lt;&gt;0, SUMIFS(ACOAETME2022[[#All],[Claims: Pharmacy]], ACOAETME2022[[#All],[Insurance Category Code]], B192, ACOAETME2022[[#All],[ACO/AE or Insurer Overall Organization ID]], 100)/G75, "NA")</f>
        <v>NA</v>
      </c>
      <c r="J192" s="45" t="str">
        <f>IF(G75&lt;&gt;0, SUMIFS(ACOAETME2022[[#All],[Claims: Long-Term Care]], ACOAETME2022[[#All],[Insurance Category Code]], B192, ACOAETME2022[[#All],[ACO/AE or Insurer Overall Organization ID]], 100)/G75, "NA")</f>
        <v>NA</v>
      </c>
      <c r="K192" s="45" t="str">
        <f>IF(G75&lt;&gt;0, SUMIFS(ACOAETME2022[[#All],[Claims: Other]], ACOAETME2022[[#All],[Insurance Category Code]], B192, ACOAETME2022[[#All],[ACO/AE or Insurer Overall Organization ID]], 100)/G75, "NA")</f>
        <v>NA</v>
      </c>
      <c r="L192" s="45" t="str">
        <f>IF(G75&lt;&gt;0, SUMIFS(ACOAETME2022[[#All],[TOTAL Non-Claims Expenses]], ACOAETME2022[[#All],[Insurance Category Code]], B192, ACOAETME2022[[#All],[ACO/AE or Insurer Overall Organization ID]], 100)/G75, "NA")</f>
        <v>NA</v>
      </c>
    </row>
    <row r="193" spans="2:12" ht="58" x14ac:dyDescent="0.35">
      <c r="B193" s="7" t="s">
        <v>720</v>
      </c>
      <c r="C193" s="162" t="str">
        <f>IF(C189="NA", "NA",IF(AND(C189&gt;10,C188&gt;10),IF(ABS(C189/C188-1)&lt;10%,"No","Yes"), "NA - small base"))</f>
        <v>NA</v>
      </c>
      <c r="D193" s="162" t="str">
        <f t="shared" ref="D193:L193" si="46">IF(D189="NA", "NA",IF(AND(D189&gt;10,D188&gt;10),IF(ABS(D189/D188-1)&lt;10%,"No","Yes"), "NA - small base"))</f>
        <v>NA</v>
      </c>
      <c r="E193" s="162" t="str">
        <f t="shared" si="46"/>
        <v>NA</v>
      </c>
      <c r="F193" s="162" t="str">
        <f t="shared" si="46"/>
        <v>NA</v>
      </c>
      <c r="G193" s="162" t="str">
        <f t="shared" si="46"/>
        <v>NA</v>
      </c>
      <c r="H193" s="162" t="str">
        <f t="shared" si="46"/>
        <v>NA</v>
      </c>
      <c r="I193" s="162" t="str">
        <f t="shared" si="46"/>
        <v>NA</v>
      </c>
      <c r="J193" s="162" t="str">
        <f t="shared" si="46"/>
        <v>NA</v>
      </c>
      <c r="K193" s="162" t="str">
        <f t="shared" si="46"/>
        <v>NA</v>
      </c>
      <c r="L193" s="162" t="str">
        <f t="shared" si="46"/>
        <v>NA</v>
      </c>
    </row>
    <row r="194" spans="2:12" x14ac:dyDescent="0.35">
      <c r="B194" s="7" t="s">
        <v>721</v>
      </c>
      <c r="C194" s="454" t="str">
        <f t="shared" ref="C194:L194" si="47">IF(C193="Yes",ABS(C189/C188-1), "NA")</f>
        <v>NA</v>
      </c>
      <c r="D194" s="454" t="str">
        <f t="shared" si="47"/>
        <v>NA</v>
      </c>
      <c r="E194" s="454" t="str">
        <f t="shared" si="47"/>
        <v>NA</v>
      </c>
      <c r="F194" s="454" t="str">
        <f t="shared" si="47"/>
        <v>NA</v>
      </c>
      <c r="G194" s="454" t="str">
        <f t="shared" si="47"/>
        <v>NA</v>
      </c>
      <c r="H194" s="454" t="str">
        <f t="shared" si="47"/>
        <v>NA</v>
      </c>
      <c r="I194" s="454" t="str">
        <f t="shared" si="47"/>
        <v>NA</v>
      </c>
      <c r="J194" s="454" t="str">
        <f t="shared" si="47"/>
        <v>NA</v>
      </c>
      <c r="K194" s="454" t="str">
        <f t="shared" si="47"/>
        <v>NA</v>
      </c>
      <c r="L194" s="454" t="str">
        <f t="shared" si="47"/>
        <v>NA</v>
      </c>
    </row>
    <row r="195" spans="2:12" x14ac:dyDescent="0.35">
      <c r="B195" s="514" t="s">
        <v>767</v>
      </c>
    </row>
    <row r="197" spans="2:12" x14ac:dyDescent="0.35">
      <c r="B197" s="13" t="s">
        <v>723</v>
      </c>
      <c r="D197" s="30"/>
    </row>
    <row r="198" spans="2:12" x14ac:dyDescent="0.35">
      <c r="B198" s="21" t="s">
        <v>117</v>
      </c>
    </row>
    <row r="199" spans="2:12" ht="29" x14ac:dyDescent="0.35">
      <c r="B199" s="201" t="s">
        <v>3</v>
      </c>
      <c r="C199" s="201" t="s">
        <v>21</v>
      </c>
      <c r="D199" s="201" t="s">
        <v>722</v>
      </c>
      <c r="E199" s="201" t="s">
        <v>726</v>
      </c>
      <c r="G199" s="137" t="s">
        <v>518</v>
      </c>
      <c r="H199" s="357" t="s">
        <v>544</v>
      </c>
      <c r="I199" s="357" t="s">
        <v>662</v>
      </c>
    </row>
    <row r="200" spans="2:12" ht="58" x14ac:dyDescent="0.35">
      <c r="B200" s="27" t="s">
        <v>504</v>
      </c>
      <c r="C200" s="28" t="s">
        <v>22</v>
      </c>
      <c r="D200" s="29" t="str" cm="1">
        <f t="array" ref="D200">IF(C69+C73=0,"NA",(ABS(C69+C73)/_xlfn.XLOOKUP(C1, PublicData21[[#All],[2021 Public Data]], PublicData21[[#All],[Medicare Managed Care Enrollment by State/County/Contract 
X 12]])-1))</f>
        <v>NA</v>
      </c>
      <c r="E200" s="29" t="str" cm="1">
        <f t="array" ref="E200">IF(G69+G73=0,"NA",(ABS(G69+G73)/_xlfn.XLOOKUP(C1, PublicData22[[#All],[2022 Public Data]], PublicData22[[#All],[Medicare Managed Care Enrollment by State/County/Contract 
X 12]])-1))</f>
        <v>NA</v>
      </c>
      <c r="G200" s="6">
        <v>901</v>
      </c>
      <c r="H200" s="194">
        <f>SUMIF(LOBEnroll[[#All],[Line of Business Enrollment Category Code]], G200, LOBEnroll[[#All],[2021 Member Months]])</f>
        <v>0</v>
      </c>
      <c r="I200" s="194">
        <f>SUMIF(LOBEnroll[[#All],[Line of Business Enrollment Category Code]], G200, LOBEnroll[[#All],[2022 Member Months]])</f>
        <v>0</v>
      </c>
    </row>
    <row r="201" spans="2:12" ht="29" x14ac:dyDescent="0.35">
      <c r="B201" s="27" t="s">
        <v>211</v>
      </c>
      <c r="C201" s="28" t="s">
        <v>209</v>
      </c>
      <c r="D201" s="29" t="str" cm="1">
        <f t="array" ref="D201">IF(C70+C74=0,"NA",(ABS(C70+C74)/_xlfn.XLOOKUP(C1, PublicData21[[#All],[2021 Public Data]], PublicData21[[#All],[Medicaid Managed Care Member Months Health Annual Statement (HAS) - from Chaz]])-1))</f>
        <v>NA</v>
      </c>
      <c r="E201" s="29" t="str" cm="1">
        <f t="array" ref="E201">IF(G70+G74=0,"NA",(ABS(G70+G74)/_xlfn.XLOOKUP(C1, PublicData22[[#All],[2022 Public Data]], PublicData22[[#All],[Medicaid Managed Care Member Months Health Annual Statement (HAS) - from Chaz]])-1))</f>
        <v>NA</v>
      </c>
      <c r="G201" s="6">
        <v>902</v>
      </c>
      <c r="H201" s="194">
        <f>SUMIF(LOBEnroll[[#All],[Line of Business Enrollment Category Code]], G201, LOBEnroll[[#All],[2021 Member Months]])</f>
        <v>0</v>
      </c>
      <c r="I201" s="194">
        <f>SUMIF(LOBEnroll[[#All],[Line of Business Enrollment Category Code]], G201, LOBEnroll[[#All],[2022 Member Months]])</f>
        <v>0</v>
      </c>
    </row>
    <row r="202" spans="2:12" ht="29" x14ac:dyDescent="0.35">
      <c r="B202" s="27" t="s">
        <v>211</v>
      </c>
      <c r="C202" s="28" t="s">
        <v>210</v>
      </c>
      <c r="D202" s="29" t="str" cm="1">
        <f t="array" ref="D202">IF(C70+C74=0,"NA",(ABS(C70*C173)/_xlfn.XLOOKUP(C1, PublicData21[[#All],[2021 Public Data]], PublicData21[[#All],[Medicaid Managed Care Unadjusted Claims TME Health Annual Statement (HAS) - from Chaz]])-1))</f>
        <v>NA</v>
      </c>
      <c r="E202" s="29" t="str" cm="1">
        <f t="array" ref="E202">IF(G70+G74=0,"NA",(ABS(G70*C187)/_xlfn.XLOOKUP(C1, PublicData22[[#All],[2022 Public Data]], PublicData22[[#All],[Medicaid Managed Care Unadjusted Claims TME Health Annual Statement (HAS) - from Chaz]])-1))</f>
        <v>NA</v>
      </c>
      <c r="G202" s="6">
        <v>903</v>
      </c>
      <c r="H202" s="194">
        <f>SUMIF(LOBEnroll[[#All],[Line of Business Enrollment Category Code]], G202, LOBEnroll[[#All],[2021 Member Months]])</f>
        <v>0</v>
      </c>
      <c r="I202" s="194">
        <f>SUMIF(LOBEnroll[[#All],[Line of Business Enrollment Category Code]], G202, LOBEnroll[[#All],[2022 Member Months]])</f>
        <v>0</v>
      </c>
    </row>
    <row r="203" spans="2:12" ht="58" x14ac:dyDescent="0.35">
      <c r="B203" s="27" t="s">
        <v>229</v>
      </c>
      <c r="C203" s="28" t="s">
        <v>22</v>
      </c>
      <c r="D203" s="29" t="str" cm="1">
        <f t="array" ref="D203">IF(C75=0,"NA",IF(C1="Neighborhood Health Plan of RI",ABS(C75/(_xlfn.XLOOKUP("Neighborhood Health Plan of RI", PublicData21[[#All],[2021 Public Data]], PublicData21[[#All],[Medicare Managed Care Enrollment by State/County/Contract 
X 12]])-1))))</f>
        <v>NA</v>
      </c>
      <c r="E203" s="29" t="str" cm="1">
        <f t="array" ref="E203">IF(G75=0,"NA",IF(C1="Neighborhood Health Plan of RI",ABS(G75/(_xlfn.XLOOKUP("Neighborhood Health Plan of RI", PublicData22[[#All],[2022 Public Data]], PublicData22[[#All],[Medicare Managed Care Enrollment by State/County/Contract 
X 12]])-1))))</f>
        <v>NA</v>
      </c>
      <c r="G203" s="6">
        <v>904</v>
      </c>
      <c r="H203" s="194">
        <f>SUMIF(LOBEnroll[[#All],[Line of Business Enrollment Category Code]], G203, LOBEnroll[[#All],[2021 Member Months]])</f>
        <v>0</v>
      </c>
      <c r="I203" s="194">
        <f>SUMIF(LOBEnroll[[#All],[Line of Business Enrollment Category Code]], G203, LOBEnroll[[#All],[2022 Member Months]])</f>
        <v>0</v>
      </c>
    </row>
    <row r="204" spans="2:12" x14ac:dyDescent="0.35">
      <c r="B204" s="201" t="s">
        <v>88</v>
      </c>
      <c r="C204" s="201" t="s">
        <v>21</v>
      </c>
      <c r="D204" s="201" t="s">
        <v>722</v>
      </c>
      <c r="E204" s="201" t="s">
        <v>726</v>
      </c>
      <c r="G204" s="6">
        <v>905</v>
      </c>
      <c r="H204" s="194">
        <f>SUMIF(LOBEnroll[[#All],[Line of Business Enrollment Category Code]], G204, LOBEnroll[[#All],[2021 Member Months]])</f>
        <v>0</v>
      </c>
      <c r="I204" s="194">
        <f>SUMIF(LOBEnroll[[#All],[Line of Business Enrollment Category Code]], G204, LOBEnroll[[#All],[2022 Member Months]])</f>
        <v>0</v>
      </c>
    </row>
    <row r="205" spans="2:12" ht="29" x14ac:dyDescent="0.35">
      <c r="B205" s="27">
        <v>901</v>
      </c>
      <c r="C205" s="28" t="s">
        <v>230</v>
      </c>
      <c r="D205" s="29" t="str" cm="1">
        <f t="array" ref="D205">IF(H200=0, "NA", ABS(H200/_xlfn.XLOOKUP(C1, PublicData21[[#All],[2021 Public Data]], PublicData21[[#All],[Individual Commercial Member Months from the Supplemental Health Care Exhibit (SHCE)]])-1))</f>
        <v>NA</v>
      </c>
      <c r="E205" s="29" t="str" cm="1">
        <f t="array" ref="E205">IF(I200=0, "NA", ABS(I200/_xlfn.XLOOKUP(C1, PublicData22[[#All],[2022 Public Data]], PublicData22[[#All],[Individual Commercial Member Months from the Supplemental Health Care Exhibit (SHCE)]])-1))</f>
        <v>NA</v>
      </c>
      <c r="G205" s="6">
        <v>906</v>
      </c>
      <c r="H205" s="194">
        <f>SUMIF(LOBEnroll[[#All],[Line of Business Enrollment Category Code]], G205, LOBEnroll[[#All],[2021 Member Months]])</f>
        <v>0</v>
      </c>
      <c r="I205" s="194">
        <f>SUMIF(LOBEnroll[[#All],[Line of Business Enrollment Category Code]], G205, LOBEnroll[[#All],[2022 Member Months]])</f>
        <v>0</v>
      </c>
    </row>
    <row r="206" spans="2:12" ht="29" x14ac:dyDescent="0.35">
      <c r="B206" s="27">
        <v>902</v>
      </c>
      <c r="C206" s="28" t="s">
        <v>231</v>
      </c>
      <c r="D206" s="29" t="str" cm="1">
        <f t="array" ref="D206">IF(H201=0, "NA", ABS(H201/_xlfn.XLOOKUP(C1, PublicData21[[#All],[2021 Public Data]], PublicData21[[#All], [Large Group Commercial Member Months from the Supplemental Health Care Exhibit (SHCE)]])-1))</f>
        <v>NA</v>
      </c>
      <c r="E206" s="29" t="str" cm="1">
        <f t="array" ref="E206">IF(I201=0, "NA", ABS(I201/_xlfn.XLOOKUP(C1, PublicData22[[#All],[2022 Public Data]], PublicData22[[#All], [Large Group Commercial Member Months from the Supplemental Health Care Exhibit (SHCE)]])-1))</f>
        <v>NA</v>
      </c>
      <c r="G206" s="6">
        <v>907</v>
      </c>
      <c r="H206" s="194">
        <f>SUMIF(LOBEnroll[[#All],[Line of Business Enrollment Category Code]], G206, LOBEnroll[[#All],[2021 Member Months]])</f>
        <v>0</v>
      </c>
      <c r="I206" s="194">
        <f>SUMIF(LOBEnroll[[#All],[Line of Business Enrollment Category Code]], G206, LOBEnroll[[#All],[2022 Member Months]])</f>
        <v>0</v>
      </c>
    </row>
    <row r="207" spans="2:12" ht="29" x14ac:dyDescent="0.35">
      <c r="B207" s="27">
        <v>903</v>
      </c>
      <c r="C207" s="28" t="s">
        <v>232</v>
      </c>
      <c r="D207" s="29" t="str" cm="1">
        <f t="array" ref="D207">IF(H202=0, "NA", ABS(H202/_xlfn.XLOOKUP(C1, PublicData21[[#All],[2021 Public Data]], PublicData21[[#All], [Small Group Commercial Member Months from the Supplemental Health Care Exhibit (SHCE)]])-1))</f>
        <v>NA</v>
      </c>
      <c r="E207" s="29" t="str" cm="1">
        <f t="array" ref="E207">IF(I202=0, "NA", ABS(I202/_xlfn.XLOOKUP(C1, PublicData22[[#All],[2022 Public Data]], PublicData22[[#All], [Small Group Commercial Member Months from the Supplemental Health Care Exhibit (SHCE)]])-1))</f>
        <v>NA</v>
      </c>
      <c r="G207" s="6">
        <v>908</v>
      </c>
      <c r="H207" s="194">
        <f>SUMIF(LOBEnroll[[#All],[Line of Business Enrollment Category Code]], G207, LOBEnroll[[#All],[2021 Member Months]])</f>
        <v>0</v>
      </c>
      <c r="I207" s="194">
        <f>SUMIF(LOBEnroll[[#All],[Line of Business Enrollment Category Code]], G207, LOBEnroll[[#All],[2022 Member Months]])</f>
        <v>0</v>
      </c>
    </row>
    <row r="208" spans="2:12" ht="29" x14ac:dyDescent="0.35">
      <c r="B208" s="27">
        <v>904</v>
      </c>
      <c r="C208" s="28" t="s">
        <v>233</v>
      </c>
      <c r="D208" s="29" t="str" cm="1">
        <f t="array" ref="D208">IF(H203=0, "NA", ABS(H203/_xlfn.XLOOKUP(C1, PublicData21[[#All],[2021 Public Data]], PublicData21[[#All], [Self-Insured Commercial Member Months from the Supplemental Health Care Exhibit (SHCE)]])-1))</f>
        <v>NA</v>
      </c>
      <c r="E208" s="29" t="str" cm="1">
        <f t="array" ref="E208">IF(I203=0, "NA", ABS(I203/_xlfn.XLOOKUP(C1, PublicData22[[#All],[2022 Public Data]], PublicData22[[#All], [Self-Insured Commercial Member Months from the Supplemental Health Care Exhibit (SHCE)]])-1))</f>
        <v>NA</v>
      </c>
    </row>
    <row r="209" spans="2:6" ht="43.5" x14ac:dyDescent="0.35">
      <c r="B209" s="27" t="s">
        <v>236</v>
      </c>
      <c r="C209" s="28" t="s">
        <v>234</v>
      </c>
      <c r="D209" s="29" t="str" cm="1">
        <f t="array" ref="D209">IF(H205+H207=0, "NA", ABS((H205+H207)/_xlfn.XLOOKUP(C1, PublicData21[[#All],[2021 Public Data]], PublicData21[[#All], [Medicare Managed Care  + Medicare Duals Member Months from the Supplemental Health Care Exhibit (SHCE)]])-1))</f>
        <v>NA</v>
      </c>
      <c r="E209" s="29" t="str" cm="1">
        <f t="array" ref="E209">IF(I205+I207=0, "NA", ABS((I205+I207)/_xlfn.XLOOKUP(C1, PublicData22[[#All],[2022 Public Data]], PublicData22[[#All], [Medicare Managed Care  + Medicare Duals Member Months from the Supplemental Health Care Exhibit (SHCE)]])-1))</f>
        <v>NA</v>
      </c>
    </row>
    <row r="210" spans="2:6" ht="43.5" x14ac:dyDescent="0.35">
      <c r="B210" s="27" t="s">
        <v>237</v>
      </c>
      <c r="C210" s="28" t="s">
        <v>235</v>
      </c>
      <c r="D210" s="29" t="str" cm="1">
        <f t="array" ref="D210">IF(H206+H207=0, "NA", ABS((H206+H207)/_xlfn.XLOOKUP(C1, PublicData21[[#All],[2021 Public Data]], PublicData21[[#All], [Medicaid/CHIP Managed Care + Duals Member Months from the Supplemental Health Care Exhibit (SHCE)]])-1))</f>
        <v>NA</v>
      </c>
      <c r="E210" s="29" t="str" cm="1">
        <f t="array" ref="E210">IF(I206+I207=0, "NA", ABS((I206+I207)/_xlfn.XLOOKUP(C1, PublicData22[[#All],[2022 Public Data]], PublicData22[[#All], [Medicaid/CHIP Managed Care + Duals Member Months from the Supplemental Health Care Exhibit (SHCE)]])-1))</f>
        <v>NA</v>
      </c>
    </row>
    <row r="212" spans="2:6" x14ac:dyDescent="0.35">
      <c r="B212" s="514" t="s">
        <v>767</v>
      </c>
      <c r="F212" s="15"/>
    </row>
    <row r="213" spans="2:6" x14ac:dyDescent="0.35">
      <c r="B213" s="15"/>
      <c r="F213" s="15"/>
    </row>
    <row r="214" spans="2:6" x14ac:dyDescent="0.35">
      <c r="B214" s="13" t="s">
        <v>591</v>
      </c>
      <c r="F214" s="15"/>
    </row>
    <row r="215" spans="2:6" x14ac:dyDescent="0.35">
      <c r="B215" s="21" t="s">
        <v>117</v>
      </c>
      <c r="F215" s="15"/>
    </row>
    <row r="216" spans="2:6" ht="29" x14ac:dyDescent="0.35">
      <c r="B216" s="137" t="s">
        <v>3</v>
      </c>
      <c r="C216" s="137" t="s">
        <v>225</v>
      </c>
      <c r="D216" s="137" t="s">
        <v>727</v>
      </c>
      <c r="E216" s="137" t="s">
        <v>728</v>
      </c>
      <c r="F216" s="137" t="s">
        <v>226</v>
      </c>
    </row>
    <row r="217" spans="2:6" x14ac:dyDescent="0.35">
      <c r="B217" s="27">
        <v>1</v>
      </c>
      <c r="C217" s="7" t="s">
        <v>87</v>
      </c>
      <c r="D217" s="199">
        <f>IF(C69=0,0,VLOOKUP(C1,InitialData21[],2,FALSE))</f>
        <v>0</v>
      </c>
      <c r="E217" s="199">
        <f>SUMIFS(ACOAETME2021[[#All],[Member Months]],ACOAETME2021[[#All],[Insurance Category Code]], B217, ACOAETME2021[[#All],[ACO/AE or Insurer Overall Organization ID]], 100)</f>
        <v>0</v>
      </c>
      <c r="F217" s="200">
        <f>IFERROR(E217/D217-1,0)</f>
        <v>0</v>
      </c>
    </row>
    <row r="218" spans="2:6" ht="29" x14ac:dyDescent="0.35">
      <c r="B218" s="27">
        <v>1</v>
      </c>
      <c r="C218" s="7" t="s">
        <v>597</v>
      </c>
      <c r="D218" s="88">
        <f>IF(C69=0,0,VLOOKUP(C1,InitialData21[],3,FALSE))</f>
        <v>0</v>
      </c>
      <c r="E218" s="88">
        <f>SUMIFS(ACOAETME2021[[#All],[TOTAL Non-Truncated Unadjusted Expenses 
(A19+A21)]],ACOAETME2021[[#All],[Insurance Category Code]], B218, ACOAETME2021[[#All],[ACO/AE or Insurer Overall Organization ID]], 100)</f>
        <v>0</v>
      </c>
      <c r="F218" s="200">
        <f t="shared" ref="F218:F228" si="48">IFERROR(E218/D218-1,0)</f>
        <v>0</v>
      </c>
    </row>
    <row r="219" spans="2:6" x14ac:dyDescent="0.35">
      <c r="B219" s="27">
        <v>2</v>
      </c>
      <c r="C219" s="7" t="s">
        <v>87</v>
      </c>
      <c r="D219" s="199">
        <f>IF(C70=0,0,VLOOKUP(C1,InitialData21[],4,FALSE))</f>
        <v>0</v>
      </c>
      <c r="E219" s="199">
        <f>SUMIFS(ACOAETME2021[[#All],[Member Months]],ACOAETME2021[[#All],[Insurance Category Code]], B219, ACOAETME2021[[#All],[ACO/AE or Insurer Overall Organization ID]], 100)</f>
        <v>0</v>
      </c>
      <c r="F219" s="200">
        <f t="shared" si="48"/>
        <v>0</v>
      </c>
    </row>
    <row r="220" spans="2:6" ht="29" x14ac:dyDescent="0.35">
      <c r="B220" s="27">
        <v>2</v>
      </c>
      <c r="C220" s="7" t="s">
        <v>597</v>
      </c>
      <c r="D220" s="88">
        <f>IF(C70=0,0,VLOOKUP(C1,InitialData21[],5,FALSE))</f>
        <v>0</v>
      </c>
      <c r="E220" s="88">
        <f>SUMIFS(ACOAETME2021[[#All],[TOTAL Non-Truncated Unadjusted Expenses 
(A19+A21)]],ACOAETME2021[[#All],[Insurance Category Code]], B220, ACOAETME2021[[#All],[ACO/AE or Insurer Overall Organization ID]], 100)</f>
        <v>0</v>
      </c>
      <c r="F220" s="200">
        <f t="shared" si="48"/>
        <v>0</v>
      </c>
    </row>
    <row r="221" spans="2:6" x14ac:dyDescent="0.35">
      <c r="B221" s="27">
        <v>3</v>
      </c>
      <c r="C221" s="7" t="s">
        <v>87</v>
      </c>
      <c r="D221" s="199">
        <f>IF(C71=0,0,VLOOKUP(C1,InitialData21[],6,FALSE))</f>
        <v>0</v>
      </c>
      <c r="E221" s="199">
        <f>SUMIFS(ACOAETME2021[[#All],[Member Months]],ACOAETME2021[[#All],[Insurance Category Code]], B221, ACOAETME2021[[#All],[ACO/AE or Insurer Overall Organization ID]], 100)</f>
        <v>0</v>
      </c>
      <c r="F221" s="200">
        <f t="shared" si="48"/>
        <v>0</v>
      </c>
    </row>
    <row r="222" spans="2:6" ht="29" x14ac:dyDescent="0.35">
      <c r="B222" s="27">
        <v>3</v>
      </c>
      <c r="C222" s="7" t="s">
        <v>597</v>
      </c>
      <c r="D222" s="88">
        <f>IF(C71=0,0,VLOOKUP(C1,InitialData21[],7,FALSE))</f>
        <v>0</v>
      </c>
      <c r="E222" s="88">
        <f>SUMIFS(ACOAETME2021[[#All],[TOTAL Non-Truncated Unadjusted Expenses 
(A19+A21)]],ACOAETME2021[[#All],[Insurance Category Code]], B222, ACOAETME2021[[#All],[ACO/AE or Insurer Overall Organization ID]], 100)</f>
        <v>0</v>
      </c>
      <c r="F222" s="200">
        <f t="shared" si="48"/>
        <v>0</v>
      </c>
    </row>
    <row r="223" spans="2:6" x14ac:dyDescent="0.35">
      <c r="B223" s="27">
        <v>4</v>
      </c>
      <c r="C223" s="7" t="s">
        <v>87</v>
      </c>
      <c r="D223" s="199">
        <f>IF(C72=0,0,VLOOKUP(C1,InitialData21[],8,FALSE))</f>
        <v>0</v>
      </c>
      <c r="E223" s="199">
        <f>SUMIFS(ACOAETME2021[[#All],[Member Months]],ACOAETME2021[[#All],[Insurance Category Code]], B223, ACOAETME2021[[#All],[ACO/AE or Insurer Overall Organization ID]], 100)</f>
        <v>0</v>
      </c>
      <c r="F223" s="200">
        <f t="shared" si="48"/>
        <v>0</v>
      </c>
    </row>
    <row r="224" spans="2:6" ht="29" x14ac:dyDescent="0.35">
      <c r="B224" s="27">
        <v>4</v>
      </c>
      <c r="C224" s="7" t="s">
        <v>597</v>
      </c>
      <c r="D224" s="88">
        <f>IF(C72=0,0,VLOOKUP(C1,InitialData21[],9,FALSE))</f>
        <v>0</v>
      </c>
      <c r="E224" s="88">
        <f>SUMIFS(ACOAETME2021[[#All],[TOTAL Non-Truncated Unadjusted Expenses 
(A19+A21)]],ACOAETME2021[[#All],[Insurance Category Code]], B224, ACOAETME2021[[#All],[ACO/AE or Insurer Overall Organization ID]], 100)</f>
        <v>0</v>
      </c>
      <c r="F224" s="200">
        <f t="shared" si="48"/>
        <v>0</v>
      </c>
    </row>
    <row r="225" spans="2:6" x14ac:dyDescent="0.35">
      <c r="B225" s="27">
        <v>5</v>
      </c>
      <c r="C225" s="7" t="s">
        <v>87</v>
      </c>
      <c r="D225" s="199">
        <f>IF(C73+C74=0,0,VLOOKUP(C1,InitialData21[],10,FALSE))</f>
        <v>0</v>
      </c>
      <c r="E225" s="199">
        <f>SUMIFS(ACOAETME2021[[#All],[Member Months]],ACOAETME2021[[#All],[Insurance Category Code]], B225, ACOAETME2021[[#All],[ACO/AE or Insurer Overall Organization ID]], 100)</f>
        <v>0</v>
      </c>
      <c r="F225" s="200">
        <f t="shared" si="48"/>
        <v>0</v>
      </c>
    </row>
    <row r="226" spans="2:6" ht="29" x14ac:dyDescent="0.35">
      <c r="B226" s="27">
        <v>5</v>
      </c>
      <c r="C226" s="7" t="s">
        <v>597</v>
      </c>
      <c r="D226" s="88">
        <f>IF(C73+C74=0,0,VLOOKUP(C1,InitialData21[],11,FALSE))</f>
        <v>0</v>
      </c>
      <c r="E226" s="88">
        <f>SUMIFS(ACOAETME2021[[#All],[TOTAL Non-Truncated Unadjusted Expenses 
(A19+A21)]],ACOAETME2021[[#All],[Insurance Category Code]], B226, ACOAETME2021[[#All],[ACO/AE or Insurer Overall Organization ID]], 100)</f>
        <v>0</v>
      </c>
      <c r="F226" s="200">
        <f t="shared" si="48"/>
        <v>0</v>
      </c>
    </row>
    <row r="227" spans="2:6" x14ac:dyDescent="0.35">
      <c r="B227" s="27">
        <v>7</v>
      </c>
      <c r="C227" s="7" t="s">
        <v>87</v>
      </c>
      <c r="D227" s="199">
        <f>IF(C75=0,0,VLOOKUP(C1,InitialData21[],12,FALSE))</f>
        <v>0</v>
      </c>
      <c r="E227" s="199">
        <f>SUMIFS(ACOAETME2021[[#All],[Member Months]],ACOAETME2021[[#All],[Insurance Category Code]], B227, ACOAETME2021[[#All],[ACO/AE or Insurer Overall Organization ID]], 100)</f>
        <v>0</v>
      </c>
      <c r="F227" s="200">
        <f t="shared" si="48"/>
        <v>0</v>
      </c>
    </row>
    <row r="228" spans="2:6" ht="29" x14ac:dyDescent="0.35">
      <c r="B228" s="27">
        <v>7</v>
      </c>
      <c r="C228" s="7" t="s">
        <v>597</v>
      </c>
      <c r="D228" s="88">
        <f>IF(C75=0,0,VLOOKUP(C1,InitialData21[],13,FALSE))</f>
        <v>0</v>
      </c>
      <c r="E228" s="88">
        <f>SUMIFS(ACOAETME2021[[#All],[TOTAL Non-Truncated Unadjusted Expenses 
(A19+A21)]],ACOAETME2021[[#All],[Insurance Category Code]], B228, ACOAETME2021[[#All],[ACO/AE or Insurer Overall Organization ID]], 100)</f>
        <v>0</v>
      </c>
      <c r="F228" s="200">
        <f t="shared" si="48"/>
        <v>0</v>
      </c>
    </row>
    <row r="229" spans="2:6" x14ac:dyDescent="0.35">
      <c r="B229" s="15"/>
      <c r="F229" s="15"/>
    </row>
    <row r="230" spans="2:6" x14ac:dyDescent="0.35">
      <c r="B230" s="23"/>
      <c r="C230" s="23"/>
      <c r="D230" s="12"/>
    </row>
    <row r="231" spans="2:6" x14ac:dyDescent="0.35">
      <c r="B231" s="13" t="s">
        <v>140</v>
      </c>
      <c r="C231" s="23"/>
    </row>
    <row r="232" spans="2:6" x14ac:dyDescent="0.35">
      <c r="B232" s="117" t="s">
        <v>142</v>
      </c>
      <c r="C232" s="23"/>
    </row>
    <row r="233" spans="2:6" ht="29" x14ac:dyDescent="0.35">
      <c r="B233" s="204" t="s">
        <v>141</v>
      </c>
      <c r="C233" s="204" t="s">
        <v>647</v>
      </c>
      <c r="D233" s="47" t="s">
        <v>241</v>
      </c>
      <c r="E233" s="204" t="s">
        <v>724</v>
      </c>
      <c r="F233" s="47" t="s">
        <v>241</v>
      </c>
    </row>
    <row r="234" spans="2:6" ht="29" x14ac:dyDescent="0.35">
      <c r="B234" s="205" t="s">
        <v>45</v>
      </c>
      <c r="C234" s="6">
        <f>'Mandatory Questions'!C12</f>
        <v>0</v>
      </c>
      <c r="D234" s="6" t="str">
        <f>IF(C234=VLOOKUP(B234,MandatoryQ[#All],2,FALSE),"Yes","No")</f>
        <v>No</v>
      </c>
      <c r="E234" s="6">
        <f>'Mandatory Questions'!D12</f>
        <v>0</v>
      </c>
      <c r="F234" s="6" t="str">
        <f>IF(E234=VLOOKUP(B234,MandatoryQ[#All],2,FALSE),"Yes","No")</f>
        <v>No</v>
      </c>
    </row>
    <row r="235" spans="2:6" ht="43.5" x14ac:dyDescent="0.35">
      <c r="B235" s="205" t="s">
        <v>212</v>
      </c>
      <c r="C235" s="6">
        <f>'Mandatory Questions'!C13</f>
        <v>0</v>
      </c>
      <c r="D235" s="6" t="str">
        <f>IF(C235=VLOOKUP(B235,MandatoryQ[#All],2,FALSE),"Yes","No")</f>
        <v>No</v>
      </c>
      <c r="E235" s="6">
        <f>'Mandatory Questions'!D13</f>
        <v>0</v>
      </c>
      <c r="F235" s="6" t="str">
        <f>IF(E235=VLOOKUP(B235,MandatoryQ[#All],2,FALSE),"Yes","No")</f>
        <v>No</v>
      </c>
    </row>
    <row r="236" spans="2:6" ht="29" x14ac:dyDescent="0.35">
      <c r="B236" s="205" t="s">
        <v>46</v>
      </c>
      <c r="C236" s="6">
        <f>'Mandatory Questions'!C14</f>
        <v>0</v>
      </c>
      <c r="D236" s="6" t="str">
        <f>IF(C236=VLOOKUP(B236,MandatoryQ[#All],2,FALSE),"Yes","No")</f>
        <v>No</v>
      </c>
      <c r="E236" s="6">
        <f>'Mandatory Questions'!D14</f>
        <v>0</v>
      </c>
      <c r="F236" s="6" t="str">
        <f>IF(E236=VLOOKUP(B236,MandatoryQ[#All],2,FALSE),"Yes","No")</f>
        <v>No</v>
      </c>
    </row>
    <row r="237" spans="2:6" ht="29" x14ac:dyDescent="0.35">
      <c r="B237" s="205" t="s">
        <v>47</v>
      </c>
      <c r="C237" s="6">
        <f>'Mandatory Questions'!C15</f>
        <v>0</v>
      </c>
      <c r="D237" s="6" t="str">
        <f>IF(C237=VLOOKUP(B237,MandatoryQ[#All],2,FALSE),"Yes","No")</f>
        <v>No</v>
      </c>
      <c r="E237" s="6">
        <f>'Mandatory Questions'!D15</f>
        <v>0</v>
      </c>
      <c r="F237" s="6" t="str">
        <f>IF(E237=VLOOKUP(B237,MandatoryQ[#All],2,FALSE),"Yes","No")</f>
        <v>No</v>
      </c>
    </row>
    <row r="238" spans="2:6" ht="29" x14ac:dyDescent="0.35">
      <c r="B238" s="205" t="s">
        <v>48</v>
      </c>
      <c r="C238" s="6">
        <f>'Mandatory Questions'!C16</f>
        <v>0</v>
      </c>
      <c r="D238" s="6" t="str">
        <f>IF(C238=VLOOKUP(B238,MandatoryQ[#All],2,FALSE),"Yes","No")</f>
        <v>No</v>
      </c>
      <c r="E238" s="6">
        <f>'Mandatory Questions'!D16</f>
        <v>0</v>
      </c>
      <c r="F238" s="6" t="str">
        <f>IF(E238=VLOOKUP(B238,MandatoryQ[#All],2,FALSE),"Yes","No")</f>
        <v>No</v>
      </c>
    </row>
    <row r="239" spans="2:6" ht="43.5" x14ac:dyDescent="0.35">
      <c r="B239" s="205" t="s">
        <v>768</v>
      </c>
      <c r="C239" s="6">
        <f>'Mandatory Questions'!C17</f>
        <v>0</v>
      </c>
      <c r="D239" s="6" t="str">
        <f>IF(C239=VLOOKUP(B239,MandatoryQ[#All],2,FALSE),"Yes","No")</f>
        <v>No</v>
      </c>
      <c r="E239" s="6">
        <f>'Mandatory Questions'!D17</f>
        <v>0</v>
      </c>
      <c r="F239" s="6" t="str">
        <f>IF(E239=VLOOKUP(B239,MandatoryQ[#All],2,FALSE),"Yes","No")</f>
        <v>No</v>
      </c>
    </row>
    <row r="240" spans="2:6" ht="58" x14ac:dyDescent="0.35">
      <c r="B240" s="205" t="s">
        <v>598</v>
      </c>
      <c r="C240" s="6">
        <f>'Mandatory Questions'!C18</f>
        <v>0</v>
      </c>
      <c r="D240" s="6" t="str">
        <f>IF(C240=VLOOKUP(B240,MandatoryQ[#All],2,FALSE),"Yes","No")</f>
        <v>No</v>
      </c>
      <c r="E240" s="6">
        <f>'Mandatory Questions'!D18</f>
        <v>0</v>
      </c>
      <c r="F240" s="6" t="str">
        <f>IF(E240=VLOOKUP(B240,MandatoryQ[#All],2,FALSE),"Yes","No")</f>
        <v>No</v>
      </c>
    </row>
    <row r="241" spans="2:6" ht="29" x14ac:dyDescent="0.35">
      <c r="B241" s="205" t="s">
        <v>642</v>
      </c>
      <c r="C241" s="6">
        <f>'Mandatory Questions'!C19</f>
        <v>0</v>
      </c>
      <c r="D241" s="6" t="str">
        <f>IF(C241=VLOOKUP(B241,MandatoryQ[#All],2,FALSE),"Yes","No")</f>
        <v>No</v>
      </c>
      <c r="E241" s="6">
        <f>'Mandatory Questions'!D19</f>
        <v>0</v>
      </c>
      <c r="F241" s="6" t="str">
        <f>IF(E241=VLOOKUP(B241,MandatoryQ[#All],2,FALSE),"Yes","No")</f>
        <v>No</v>
      </c>
    </row>
    <row r="242" spans="2:6" ht="72.5" x14ac:dyDescent="0.35">
      <c r="B242" s="205" t="s">
        <v>643</v>
      </c>
      <c r="C242" s="6">
        <f>'Mandatory Questions'!C20</f>
        <v>0</v>
      </c>
      <c r="D242" s="6" t="str">
        <f>IF(C242=VLOOKUP(B242,MandatoryQ[#All],2,FALSE),"Yes","No")</f>
        <v>No</v>
      </c>
      <c r="E242" s="6">
        <f>'Mandatory Questions'!D20</f>
        <v>0</v>
      </c>
      <c r="F242" s="6" t="str">
        <f>IF(E242=VLOOKUP(B242,MandatoryQ[#All],2,FALSE),"Yes","No")</f>
        <v>No</v>
      </c>
    </row>
    <row r="243" spans="2:6" ht="43.5" x14ac:dyDescent="0.35">
      <c r="B243" s="205" t="s">
        <v>49</v>
      </c>
      <c r="C243" s="6">
        <f>'Mandatory Questions'!C21</f>
        <v>0</v>
      </c>
      <c r="D243" s="6" t="str">
        <f>IF(C243=VLOOKUP(B243,MandatoryQ[#All],2,FALSE),"Yes","No")</f>
        <v>No</v>
      </c>
      <c r="E243" s="6">
        <f>'Mandatory Questions'!D21</f>
        <v>0</v>
      </c>
      <c r="F243" s="6" t="str">
        <f>IF(E243=VLOOKUP(B243,MandatoryQ[#All],2,FALSE),"Yes","No")</f>
        <v>No</v>
      </c>
    </row>
    <row r="244" spans="2:6" ht="43.5" x14ac:dyDescent="0.35">
      <c r="B244" s="205" t="s">
        <v>50</v>
      </c>
      <c r="C244" s="6">
        <f>'Mandatory Questions'!C22</f>
        <v>0</v>
      </c>
      <c r="D244" s="6" t="str">
        <f>IF(C244=VLOOKUP(B244,MandatoryQ[#All],2,FALSE),"Yes","No")</f>
        <v>No</v>
      </c>
      <c r="E244" s="6">
        <f>'Mandatory Questions'!D22</f>
        <v>0</v>
      </c>
      <c r="F244" s="6" t="str">
        <f>IF(E244=VLOOKUP(B244,MandatoryQ[#All],2,FALSE),"Yes","No")</f>
        <v>No</v>
      </c>
    </row>
    <row r="245" spans="2:6" ht="29" x14ac:dyDescent="0.35">
      <c r="B245" s="205" t="s">
        <v>213</v>
      </c>
      <c r="C245" s="6">
        <f>'Mandatory Questions'!C23</f>
        <v>0</v>
      </c>
      <c r="D245" s="6" t="str">
        <f>IF(C245=VLOOKUP(B245,MandatoryQ[#All],2,FALSE),"Yes","No")</f>
        <v>No</v>
      </c>
      <c r="E245" s="6">
        <f>'Mandatory Questions'!D23</f>
        <v>0</v>
      </c>
      <c r="F245" s="6" t="str">
        <f>IF(E245=VLOOKUP(B245,MandatoryQ[#All],2,FALSE),"Yes","No")</f>
        <v>No</v>
      </c>
    </row>
    <row r="246" spans="2:6" ht="29" x14ac:dyDescent="0.35">
      <c r="B246" s="205" t="s">
        <v>51</v>
      </c>
      <c r="C246" s="6">
        <f>'Mandatory Questions'!C24</f>
        <v>0</v>
      </c>
      <c r="D246" s="6" t="str">
        <f>IF(C246=VLOOKUP(B246,MandatoryQ[#All],2,FALSE),"Yes","No")</f>
        <v>No</v>
      </c>
      <c r="E246" s="6">
        <f>'Mandatory Questions'!D24</f>
        <v>0</v>
      </c>
      <c r="F246" s="6" t="str">
        <f>IF(E246=VLOOKUP(B246,MandatoryQ[#All],2,FALSE),"Yes","No")</f>
        <v>No</v>
      </c>
    </row>
    <row r="247" spans="2:6" ht="43.5" x14ac:dyDescent="0.35">
      <c r="B247" s="205" t="s">
        <v>644</v>
      </c>
      <c r="C247" s="6">
        <f>'Mandatory Questions'!C25</f>
        <v>0</v>
      </c>
      <c r="D247" s="6" t="str">
        <f>IF(C247=VLOOKUP(B247,MandatoryQ[#All],2,FALSE),"Yes","No")</f>
        <v>No</v>
      </c>
      <c r="E247" s="6">
        <f>'Mandatory Questions'!D25</f>
        <v>0</v>
      </c>
      <c r="F247" s="6" t="str">
        <f>IF(E247=VLOOKUP(B247,MandatoryQ[#All],2,FALSE),"Yes","No")</f>
        <v>No</v>
      </c>
    </row>
    <row r="248" spans="2:6" ht="43.5" x14ac:dyDescent="0.35">
      <c r="B248" s="205" t="s">
        <v>645</v>
      </c>
      <c r="C248" s="6">
        <f>'Mandatory Questions'!C26</f>
        <v>0</v>
      </c>
      <c r="D248" s="6" t="str">
        <f>IF(C248=VLOOKUP(B248,MandatoryQ[#All],2,FALSE),"Yes","No")</f>
        <v>No</v>
      </c>
      <c r="E248" s="6">
        <f>'Mandatory Questions'!D26</f>
        <v>0</v>
      </c>
      <c r="F248" s="6" t="str">
        <f>IF(E248=VLOOKUP(B248,MandatoryQ[#All],2,FALSE),"Yes","No")</f>
        <v>No</v>
      </c>
    </row>
    <row r="249" spans="2:6" ht="43.5" x14ac:dyDescent="0.35">
      <c r="B249" s="205" t="s">
        <v>52</v>
      </c>
      <c r="C249" s="6">
        <f>'Mandatory Questions'!C27</f>
        <v>0</v>
      </c>
      <c r="D249" s="6" t="str">
        <f>IF(C249=VLOOKUP(B249,MandatoryQ[#All],2,FALSE),"Yes","No")</f>
        <v>No</v>
      </c>
      <c r="E249" s="6">
        <f>'Mandatory Questions'!D27</f>
        <v>0</v>
      </c>
      <c r="F249" s="6" t="str">
        <f>IF(E249=VLOOKUP(B249,MandatoryQ[#All],2,FALSE),"Yes","No")</f>
        <v>No</v>
      </c>
    </row>
    <row r="250" spans="2:6" ht="29" x14ac:dyDescent="0.35">
      <c r="B250" s="205" t="s">
        <v>155</v>
      </c>
      <c r="C250" s="6">
        <f>'Mandatory Questions'!C28</f>
        <v>0</v>
      </c>
      <c r="D250" s="6" t="str">
        <f>IF(C250=VLOOKUP(B250,MandatoryQ[#All],2,FALSE),"Yes","No")</f>
        <v>No</v>
      </c>
      <c r="E250" s="6">
        <f>'Mandatory Questions'!D28</f>
        <v>0</v>
      </c>
      <c r="F250" s="6" t="str">
        <f>IF(E250=VLOOKUP(B250,MandatoryQ[#All],2,FALSE),"Yes","No")</f>
        <v>No</v>
      </c>
    </row>
    <row r="251" spans="2:6" ht="29" x14ac:dyDescent="0.35">
      <c r="B251" s="205" t="s">
        <v>53</v>
      </c>
      <c r="C251" s="6">
        <f>'Mandatory Questions'!C29</f>
        <v>0</v>
      </c>
      <c r="D251" s="6"/>
      <c r="E251" s="6">
        <f>'Mandatory Questions'!D29</f>
        <v>0</v>
      </c>
      <c r="F251" s="6"/>
    </row>
    <row r="252" spans="2:6" ht="29" x14ac:dyDescent="0.35">
      <c r="B252" s="205" t="s">
        <v>54</v>
      </c>
      <c r="C252" s="6">
        <f>'Mandatory Questions'!C30</f>
        <v>0</v>
      </c>
      <c r="D252" s="6"/>
      <c r="E252" s="6">
        <f>'Mandatory Questions'!D30</f>
        <v>0</v>
      </c>
      <c r="F252" s="6"/>
    </row>
    <row r="253" spans="2:6" ht="29" x14ac:dyDescent="0.35">
      <c r="B253" s="205" t="s">
        <v>55</v>
      </c>
      <c r="C253" s="6">
        <f>'Mandatory Questions'!C31</f>
        <v>0</v>
      </c>
      <c r="D253" s="6"/>
      <c r="E253" s="6">
        <f>'Mandatory Questions'!D31</f>
        <v>0</v>
      </c>
      <c r="F253" s="6"/>
    </row>
    <row r="254" spans="2:6" ht="29" x14ac:dyDescent="0.35">
      <c r="B254" s="205" t="s">
        <v>637</v>
      </c>
      <c r="C254" s="6">
        <f>'Mandatory Questions'!C32</f>
        <v>0</v>
      </c>
      <c r="D254" s="6" t="str">
        <f>IF(C254=VLOOKUP(B254,MandatoryQ[#All],2,FALSE),"Yes","No")</f>
        <v>No</v>
      </c>
      <c r="E254" s="6">
        <f>'Mandatory Questions'!D32</f>
        <v>0</v>
      </c>
      <c r="F254" s="6" t="str">
        <f>IF(E254=VLOOKUP(B254,MandatoryQ[#All],2,FALSE),"Yes","No")</f>
        <v>No</v>
      </c>
    </row>
    <row r="255" spans="2:6" ht="29" x14ac:dyDescent="0.35">
      <c r="B255" s="205" t="s">
        <v>239</v>
      </c>
      <c r="C255" s="6">
        <f>'Mandatory Questions'!C33</f>
        <v>0</v>
      </c>
      <c r="D255" s="6" t="str">
        <f>IF(C255=VLOOKUP(B255,MandatoryQ[#All],2,FALSE),"Yes","No")</f>
        <v>No</v>
      </c>
      <c r="E255" s="6">
        <f>'Mandatory Questions'!D33</f>
        <v>0</v>
      </c>
      <c r="F255" s="6" t="str">
        <f>IF(E255=VLOOKUP(B255,MandatoryQ[#All],2,FALSE),"Yes","No")</f>
        <v>No</v>
      </c>
    </row>
    <row r="256" spans="2:6" ht="72.5" x14ac:dyDescent="0.35">
      <c r="B256" s="205" t="s">
        <v>590</v>
      </c>
      <c r="C256" s="6">
        <f>'Mandatory Questions'!C34</f>
        <v>0</v>
      </c>
      <c r="D256" s="6" t="str">
        <f>IF(C256=VLOOKUP(B256,MandatoryQ[#All],2,FALSE),"Yes","No")</f>
        <v>No</v>
      </c>
      <c r="E256" s="6">
        <f>'Mandatory Questions'!D34</f>
        <v>0</v>
      </c>
      <c r="F256" s="6" t="str">
        <f>IF(E256=VLOOKUP(B256,MandatoryQ[#All],2,FALSE),"Yes","No")</f>
        <v>No</v>
      </c>
    </row>
    <row r="257" spans="2:7" ht="29" x14ac:dyDescent="0.35">
      <c r="B257" s="205" t="s">
        <v>240</v>
      </c>
      <c r="C257" s="6">
        <f>'Mandatory Questions'!C35</f>
        <v>0</v>
      </c>
      <c r="D257" s="6" t="str">
        <f>IF(C257=VLOOKUP(B257,MandatoryQ[#All],2,FALSE),"Yes","No")</f>
        <v>No</v>
      </c>
      <c r="E257" s="6">
        <f>'Mandatory Questions'!D35</f>
        <v>0</v>
      </c>
      <c r="F257" s="6" t="str">
        <f>IF(E257=VLOOKUP(B257,MandatoryQ[#All],2,FALSE),"Yes","No")</f>
        <v>No</v>
      </c>
    </row>
    <row r="258" spans="2:7" ht="43.5" x14ac:dyDescent="0.35">
      <c r="B258" s="205" t="s">
        <v>589</v>
      </c>
      <c r="C258" s="6">
        <f>'Mandatory Questions'!C36</f>
        <v>0</v>
      </c>
      <c r="D258" s="6" t="str">
        <f>IF(C258=VLOOKUP(B258,MandatoryQ[#All],2,FALSE),"Yes","No")</f>
        <v>Yes</v>
      </c>
      <c r="E258" s="6">
        <f>'Mandatory Questions'!D36</f>
        <v>0</v>
      </c>
      <c r="F258" s="6"/>
    </row>
    <row r="259" spans="2:7" ht="43.5" x14ac:dyDescent="0.35">
      <c r="B259" s="205" t="s">
        <v>636</v>
      </c>
      <c r="C259" s="6">
        <f>'Mandatory Questions'!C37</f>
        <v>0</v>
      </c>
      <c r="D259" s="6"/>
      <c r="E259" s="6">
        <f>'Mandatory Questions'!D37</f>
        <v>0</v>
      </c>
      <c r="F259" s="6"/>
      <c r="G259" s="15"/>
    </row>
    <row r="260" spans="2:7" ht="43.5" x14ac:dyDescent="0.35">
      <c r="B260" s="205" t="s">
        <v>638</v>
      </c>
      <c r="C260" s="6">
        <f>'Mandatory Questions'!C38</f>
        <v>0</v>
      </c>
      <c r="D260" s="6" t="str">
        <f>IF(C260=VLOOKUP(B260,MandatoryQ[#All],2,FALSE),"Yes","No")</f>
        <v>No</v>
      </c>
      <c r="E260" s="6">
        <f>'Mandatory Questions'!D38</f>
        <v>0</v>
      </c>
      <c r="F260" s="6" t="str">
        <f>IF(E260=VLOOKUP(B260,MandatoryQ[#All],2,FALSE),"Yes","No")</f>
        <v>No</v>
      </c>
    </row>
    <row r="261" spans="2:7" ht="58" x14ac:dyDescent="0.35">
      <c r="B261" s="205" t="s">
        <v>786</v>
      </c>
      <c r="C261" s="6">
        <f>'Mandatory Questions'!C39</f>
        <v>0</v>
      </c>
      <c r="D261" s="6" t="str">
        <f>IF(C261=VLOOKUP(B261,MandatoryQ[#All],2,FALSE),"Yes","No")</f>
        <v>No</v>
      </c>
      <c r="E261" s="6">
        <f>'Mandatory Questions'!D39</f>
        <v>0</v>
      </c>
      <c r="F261" s="6" t="str">
        <f>IF(E261=VLOOKUP(B261,MandatoryQ[#All],2,FALSE),"Yes","No")</f>
        <v>No</v>
      </c>
    </row>
    <row r="262" spans="2:7" ht="29" x14ac:dyDescent="0.35">
      <c r="B262" s="205" t="s">
        <v>640</v>
      </c>
      <c r="C262" s="6">
        <f>'Mandatory Questions'!C40</f>
        <v>0</v>
      </c>
      <c r="D262" s="6" t="str">
        <f>IF(C262=VLOOKUP(B262,MandatoryQ[#All],2,FALSE),"Yes","No")</f>
        <v>No</v>
      </c>
      <c r="E262" s="6">
        <f>'Mandatory Questions'!D40</f>
        <v>0</v>
      </c>
      <c r="F262" s="6" t="str">
        <f>IF(E262=VLOOKUP(B262,MandatoryQ[#All],2,FALSE),"Yes","No")</f>
        <v>No</v>
      </c>
    </row>
    <row r="263" spans="2:7" ht="43.5" x14ac:dyDescent="0.35">
      <c r="B263" s="205" t="s">
        <v>641</v>
      </c>
      <c r="C263" s="6">
        <f>'Mandatory Questions'!C41</f>
        <v>0</v>
      </c>
      <c r="D263" s="6" t="str">
        <f>IF(C263=VLOOKUP(B263,MandatoryQ[#All],2,FALSE),"Yes","No")</f>
        <v>No</v>
      </c>
      <c r="E263" s="6">
        <f>'Mandatory Questions'!D41</f>
        <v>0</v>
      </c>
      <c r="F263" s="6" t="str">
        <f>IF(E263=VLOOKUP(B263,MandatoryQ[#All],2,FALSE),"Yes","No")</f>
        <v>No</v>
      </c>
    </row>
    <row r="264" spans="2:7" ht="72.5" x14ac:dyDescent="0.35">
      <c r="B264" s="475" t="s">
        <v>729</v>
      </c>
      <c r="C264" s="6">
        <f>'Mandatory Questions'!C42</f>
        <v>0</v>
      </c>
      <c r="D264" s="6" t="str">
        <f>IF(C264=VLOOKUP(B264,MandatoryQ[#All],2,FALSE),"Yes","No")</f>
        <v>No</v>
      </c>
      <c r="E264" s="6">
        <f>'Mandatory Questions'!D42</f>
        <v>0</v>
      </c>
      <c r="F264" s="6" t="str">
        <f>IF(E264=VLOOKUP(B264,MandatoryQ[#All],2,FALSE),"Yes","No")</f>
        <v>No</v>
      </c>
    </row>
    <row r="265" spans="2:7" ht="29" x14ac:dyDescent="0.35">
      <c r="B265" s="205" t="s">
        <v>56</v>
      </c>
      <c r="C265" s="6">
        <f>'Mandatory Questions'!C43</f>
        <v>0</v>
      </c>
      <c r="D265" s="6"/>
      <c r="E265" s="6">
        <f>'Mandatory Questions'!D43</f>
        <v>0</v>
      </c>
      <c r="F265" s="6"/>
    </row>
    <row r="266" spans="2:7" x14ac:dyDescent="0.35">
      <c r="B266" s="21"/>
    </row>
    <row r="267" spans="2:7" x14ac:dyDescent="0.35">
      <c r="B267" s="21"/>
    </row>
    <row r="268" spans="2:7" x14ac:dyDescent="0.35">
      <c r="B268" s="514" t="s">
        <v>767</v>
      </c>
    </row>
  </sheetData>
  <sheetProtection algorithmName="SHA-512" hashValue="hKvMWbb8HMFin/HNg02UyxFB0CfKauEJ1xfeLPFAdo9IQu1nT0KpdDiJwZmWG8S7P811jLSBHzhP7hyAFSAvFA==" saltValue="WkKcd+QGWs/YMyL8zbf5Vw==" spinCount="100000" sheet="1" objects="1" scenarios="1" formatCells="0" sort="0"/>
  <mergeCells count="46">
    <mergeCell ref="C17:E17"/>
    <mergeCell ref="F17:H17"/>
    <mergeCell ref="C9:H9"/>
    <mergeCell ref="I9:N9"/>
    <mergeCell ref="V155:X155"/>
    <mergeCell ref="C155:E155"/>
    <mergeCell ref="F155:H155"/>
    <mergeCell ref="K155:M155"/>
    <mergeCell ref="N155:P155"/>
    <mergeCell ref="S155:U155"/>
    <mergeCell ref="C106:G106"/>
    <mergeCell ref="H106:L106"/>
    <mergeCell ref="M106:O106"/>
    <mergeCell ref="H120:L120"/>
    <mergeCell ref="M120:O120"/>
    <mergeCell ref="C79:G79"/>
    <mergeCell ref="R106:V106"/>
    <mergeCell ref="W106:AA106"/>
    <mergeCell ref="AB106:AD106"/>
    <mergeCell ref="R79:V79"/>
    <mergeCell ref="W79:AA79"/>
    <mergeCell ref="C92:G92"/>
    <mergeCell ref="H92:L92"/>
    <mergeCell ref="M92:O92"/>
    <mergeCell ref="AB79:AD79"/>
    <mergeCell ref="R92:V92"/>
    <mergeCell ref="W92:AA92"/>
    <mergeCell ref="AB92:AD92"/>
    <mergeCell ref="H79:L79"/>
    <mergeCell ref="M79:O79"/>
    <mergeCell ref="AB148:AD148"/>
    <mergeCell ref="C134:G134"/>
    <mergeCell ref="H134:L134"/>
    <mergeCell ref="M134:O134"/>
    <mergeCell ref="R120:V120"/>
    <mergeCell ref="W120:AA120"/>
    <mergeCell ref="C120:G120"/>
    <mergeCell ref="C148:G148"/>
    <mergeCell ref="H148:L148"/>
    <mergeCell ref="M148:O148"/>
    <mergeCell ref="R148:V148"/>
    <mergeCell ref="W148:AA148"/>
    <mergeCell ref="AB120:AD120"/>
    <mergeCell ref="R134:V134"/>
    <mergeCell ref="W134:AA134"/>
    <mergeCell ref="AB134:AD134"/>
  </mergeCells>
  <conditionalFormatting sqref="C234:C265 E234:E265">
    <cfRule type="cellIs" dxfId="173" priority="221" operator="equal">
      <formula>0</formula>
    </cfRule>
    <cfRule type="expression" dxfId="172" priority="222">
      <formula>D234="No"</formula>
    </cfRule>
    <cfRule type="expression" dxfId="171" priority="223">
      <formula>D234="Yes"</formula>
    </cfRule>
  </conditionalFormatting>
  <conditionalFormatting sqref="C250 E250">
    <cfRule type="expression" dxfId="170" priority="216">
      <formula>D250="No"</formula>
    </cfRule>
    <cfRule type="expression" dxfId="169" priority="217">
      <formula>D250="Yes"</formula>
    </cfRule>
    <cfRule type="cellIs" dxfId="168" priority="215" operator="equal">
      <formula>0</formula>
    </cfRule>
  </conditionalFormatting>
  <conditionalFormatting sqref="C263:C264 E263:E264">
    <cfRule type="expression" dxfId="167" priority="213">
      <formula>D263="No"</formula>
    </cfRule>
    <cfRule type="expression" dxfId="166" priority="214">
      <formula>D263="Yes"</formula>
    </cfRule>
    <cfRule type="cellIs" dxfId="165" priority="212" operator="equal">
      <formula>0</formula>
    </cfRule>
  </conditionalFormatting>
  <conditionalFormatting sqref="C5:D7">
    <cfRule type="cellIs" dxfId="164" priority="32" operator="notEqual">
      <formula>0</formula>
    </cfRule>
    <cfRule type="cellIs" dxfId="163" priority="33" operator="equal">
      <formula>0</formula>
    </cfRule>
  </conditionalFormatting>
  <conditionalFormatting sqref="C15:H15">
    <cfRule type="cellIs" dxfId="162" priority="27" operator="equal">
      <formula>0</formula>
    </cfRule>
    <cfRule type="cellIs" dxfId="161" priority="26" operator="notEqual">
      <formula>0</formula>
    </cfRule>
  </conditionalFormatting>
  <conditionalFormatting sqref="C19:H19">
    <cfRule type="cellIs" dxfId="160" priority="24" operator="notEqual">
      <formula>0</formula>
    </cfRule>
    <cfRule type="cellIs" dxfId="159" priority="25" operator="equal">
      <formula>0</formula>
    </cfRule>
  </conditionalFormatting>
  <conditionalFormatting sqref="C172:L178">
    <cfRule type="cellIs" dxfId="158" priority="319" operator="lessThan">
      <formula>10</formula>
    </cfRule>
  </conditionalFormatting>
  <conditionalFormatting sqref="C179:L179">
    <cfRule type="cellIs" dxfId="157" priority="97" operator="equal">
      <formula>"Yes"</formula>
    </cfRule>
    <cfRule type="notContainsText" dxfId="156" priority="96" operator="notContains" text="Yes">
      <formula>ISERROR(SEARCH("Yes",C179))</formula>
    </cfRule>
  </conditionalFormatting>
  <conditionalFormatting sqref="C180:L180">
    <cfRule type="cellIs" dxfId="155" priority="94" operator="between">
      <formula>-100</formula>
      <formula>100</formula>
    </cfRule>
    <cfRule type="containsText" dxfId="154" priority="95" operator="containsText" text="NA">
      <formula>NOT(ISERROR(SEARCH("NA",C180)))</formula>
    </cfRule>
  </conditionalFormatting>
  <conditionalFormatting sqref="C186:L192">
    <cfRule type="cellIs" dxfId="153" priority="247" operator="lessThan">
      <formula>10</formula>
    </cfRule>
  </conditionalFormatting>
  <conditionalFormatting sqref="C193:L193">
    <cfRule type="cellIs" dxfId="152" priority="126" operator="equal">
      <formula>"Yes"</formula>
    </cfRule>
    <cfRule type="notContainsText" dxfId="151" priority="125" operator="notContains" text="Yes">
      <formula>ISERROR(SEARCH("Yes",C193))</formula>
    </cfRule>
  </conditionalFormatting>
  <conditionalFormatting sqref="C194:L194">
    <cfRule type="containsText" dxfId="150" priority="99" operator="containsText" text="NA">
      <formula>NOT(ISERROR(SEARCH("NA",C194)))</formula>
    </cfRule>
    <cfRule type="cellIs" dxfId="149" priority="98" operator="between">
      <formula>-100</formula>
      <formula>100</formula>
    </cfRule>
  </conditionalFormatting>
  <conditionalFormatting sqref="C11:N11">
    <cfRule type="cellIs" dxfId="148" priority="30" operator="notEqual">
      <formula>0</formula>
    </cfRule>
    <cfRule type="cellIs" dxfId="147" priority="31" operator="equal">
      <formula>0</formula>
    </cfRule>
  </conditionalFormatting>
  <conditionalFormatting sqref="C12:N12">
    <cfRule type="containsText" dxfId="146" priority="28" operator="containsText" text="No">
      <formula>NOT(ISERROR(SEARCH("No",C12)))</formula>
    </cfRule>
    <cfRule type="containsText" dxfId="145" priority="29" operator="containsText" text="Yes">
      <formula>NOT(ISERROR(SEARCH("Yes",C12)))</formula>
    </cfRule>
  </conditionalFormatting>
  <conditionalFormatting sqref="D40">
    <cfRule type="cellIs" dxfId="144" priority="307" operator="equal">
      <formula>$C$40</formula>
    </cfRule>
    <cfRule type="cellIs" dxfId="143" priority="306" operator="notEqual">
      <formula>$C$40</formula>
    </cfRule>
  </conditionalFormatting>
  <conditionalFormatting sqref="D41">
    <cfRule type="cellIs" dxfId="142" priority="277" operator="equal">
      <formula>$C$41</formula>
    </cfRule>
    <cfRule type="cellIs" dxfId="141" priority="278" operator="notEqual">
      <formula>$C$41</formula>
    </cfRule>
  </conditionalFormatting>
  <conditionalFormatting sqref="D42">
    <cfRule type="cellIs" dxfId="140" priority="275" operator="equal">
      <formula>$C$42</formula>
    </cfRule>
    <cfRule type="cellIs" dxfId="139" priority="276" operator="notEqual">
      <formula>$C$42</formula>
    </cfRule>
  </conditionalFormatting>
  <conditionalFormatting sqref="D43">
    <cfRule type="cellIs" dxfId="138" priority="273" operator="equal">
      <formula>$C$43</formula>
    </cfRule>
    <cfRule type="cellIs" dxfId="137" priority="274" operator="notEqual">
      <formula>$C$43</formula>
    </cfRule>
  </conditionalFormatting>
  <conditionalFormatting sqref="D44">
    <cfRule type="cellIs" dxfId="136" priority="272" operator="notEqual">
      <formula>$C$44</formula>
    </cfRule>
    <cfRule type="cellIs" dxfId="135" priority="271" operator="equal">
      <formula>$C$44</formula>
    </cfRule>
  </conditionalFormatting>
  <conditionalFormatting sqref="D45">
    <cfRule type="cellIs" dxfId="134" priority="270" operator="notEqual">
      <formula>$C$45</formula>
    </cfRule>
    <cfRule type="cellIs" dxfId="133" priority="269" operator="equal">
      <formula>$C$45</formula>
    </cfRule>
  </conditionalFormatting>
  <conditionalFormatting sqref="D46">
    <cfRule type="cellIs" dxfId="132" priority="211" operator="notEqual">
      <formula>$C$46</formula>
    </cfRule>
    <cfRule type="cellIs" dxfId="131" priority="210" operator="equal">
      <formula>$C$46</formula>
    </cfRule>
  </conditionalFormatting>
  <conditionalFormatting sqref="D202:D203">
    <cfRule type="cellIs" dxfId="130" priority="203" operator="lessThanOrEqual">
      <formula>0.1</formula>
    </cfRule>
    <cfRule type="cellIs" dxfId="129" priority="204" operator="greaterThan">
      <formula>0.1</formula>
    </cfRule>
    <cfRule type="cellIs" dxfId="128" priority="202" stopIfTrue="1" operator="equal">
      <formula>"NA"</formula>
    </cfRule>
  </conditionalFormatting>
  <conditionalFormatting sqref="D207:D208">
    <cfRule type="cellIs" dxfId="127" priority="42" operator="greaterThan">
      <formula>0.1</formula>
    </cfRule>
    <cfRule type="cellIs" dxfId="126" priority="41" operator="lessThanOrEqual">
      <formula>0.1</formula>
    </cfRule>
    <cfRule type="cellIs" dxfId="125" priority="40" stopIfTrue="1" operator="equal">
      <formula>"NA"</formula>
    </cfRule>
  </conditionalFormatting>
  <conditionalFormatting sqref="D200:E201">
    <cfRule type="cellIs" dxfId="124" priority="206" operator="lessThanOrEqual">
      <formula>0.1</formula>
    </cfRule>
    <cfRule type="cellIs" dxfId="123" priority="205" stopIfTrue="1" operator="equal">
      <formula>"NA"</formula>
    </cfRule>
    <cfRule type="cellIs" dxfId="122" priority="207" operator="greaterThan">
      <formula>0.1</formula>
    </cfRule>
  </conditionalFormatting>
  <conditionalFormatting sqref="D203:E203">
    <cfRule type="cellIs" dxfId="121" priority="187" stopIfTrue="1" operator="equal">
      <formula>"NA"</formula>
    </cfRule>
    <cfRule type="cellIs" dxfId="120" priority="188" operator="lessThanOrEqual">
      <formula>0.1</formula>
    </cfRule>
    <cfRule type="cellIs" dxfId="119" priority="189" operator="greaterThan">
      <formula>0.1</formula>
    </cfRule>
  </conditionalFormatting>
  <conditionalFormatting sqref="D205:E206">
    <cfRule type="cellIs" dxfId="118" priority="44" operator="lessThanOrEqual">
      <formula>0.1</formula>
    </cfRule>
    <cfRule type="cellIs" dxfId="117" priority="45" operator="greaterThan">
      <formula>0.1</formula>
    </cfRule>
    <cfRule type="cellIs" dxfId="116" priority="43" stopIfTrue="1" operator="equal">
      <formula>"NA"</formula>
    </cfRule>
  </conditionalFormatting>
  <conditionalFormatting sqref="D208:E210">
    <cfRule type="cellIs" dxfId="115" priority="37" stopIfTrue="1" operator="equal">
      <formula>"NA"</formula>
    </cfRule>
    <cfRule type="cellIs" dxfId="114" priority="38" operator="lessThanOrEqual">
      <formula>0.1</formula>
    </cfRule>
    <cfRule type="cellIs" dxfId="113" priority="39" operator="greaterThan">
      <formula>0.1</formula>
    </cfRule>
  </conditionalFormatting>
  <conditionalFormatting sqref="E32:E33">
    <cfRule type="cellIs" dxfId="112" priority="236" operator="equal">
      <formula>"No"</formula>
    </cfRule>
    <cfRule type="cellIs" dxfId="111" priority="235" operator="equal">
      <formula>"Yes"</formula>
    </cfRule>
  </conditionalFormatting>
  <conditionalFormatting sqref="E51:E55">
    <cfRule type="cellIs" dxfId="110" priority="116" operator="equal">
      <formula>"Yes"</formula>
    </cfRule>
    <cfRule type="notContainsText" dxfId="109" priority="117" operator="notContains" text="Yes">
      <formula>ISERROR(SEARCH("Yes",E51))</formula>
    </cfRule>
  </conditionalFormatting>
  <conditionalFormatting sqref="E60:E64">
    <cfRule type="cellIs" dxfId="108" priority="108" operator="equal">
      <formula>"Yes"</formula>
    </cfRule>
    <cfRule type="notContainsText" dxfId="107" priority="109" operator="notContains" text="Yes">
      <formula>ISERROR(SEARCH("Yes",E60))</formula>
    </cfRule>
  </conditionalFormatting>
  <conditionalFormatting sqref="E61:E64">
    <cfRule type="cellIs" dxfId="106" priority="249" operator="equal">
      <formula>"No"</formula>
    </cfRule>
    <cfRule type="cellIs" dxfId="105" priority="248" operator="equal">
      <formula>"Yes"</formula>
    </cfRule>
  </conditionalFormatting>
  <conditionalFormatting sqref="E157:E166">
    <cfRule type="notContainsText" dxfId="104" priority="74" operator="notContains" text="TRUE">
      <formula>ISERROR(SEARCH("TRUE",E157))</formula>
    </cfRule>
    <cfRule type="containsText" dxfId="103" priority="75" operator="containsText" text="TRUE">
      <formula>NOT(ISERROR(SEARCH("TRUE",E157)))</formula>
    </cfRule>
  </conditionalFormatting>
  <conditionalFormatting sqref="E202:E203">
    <cfRule type="cellIs" dxfId="102" priority="49" stopIfTrue="1" operator="equal">
      <formula>"NA"</formula>
    </cfRule>
    <cfRule type="cellIs" dxfId="101" priority="51" operator="greaterThan">
      <formula>0.1</formula>
    </cfRule>
    <cfRule type="cellIs" dxfId="100" priority="50" operator="lessThanOrEqual">
      <formula>0.1</formula>
    </cfRule>
  </conditionalFormatting>
  <conditionalFormatting sqref="E207:E208">
    <cfRule type="cellIs" dxfId="99" priority="36" operator="greaterThan">
      <formula>0.1</formula>
    </cfRule>
    <cfRule type="cellIs" dxfId="98" priority="34" stopIfTrue="1" operator="equal">
      <formula>"NA"</formula>
    </cfRule>
    <cfRule type="cellIs" dxfId="97" priority="35" operator="lessThanOrEqual">
      <formula>0.1</formula>
    </cfRule>
  </conditionalFormatting>
  <conditionalFormatting sqref="E69:F75">
    <cfRule type="cellIs" dxfId="96" priority="114" operator="equal">
      <formula>"Yes"</formula>
    </cfRule>
    <cfRule type="notContainsText" dxfId="95" priority="115" operator="notContains" text="Yes">
      <formula>ISERROR(SEARCH("Yes",E69))</formula>
    </cfRule>
  </conditionalFormatting>
  <conditionalFormatting sqref="F40">
    <cfRule type="cellIs" dxfId="94" priority="166" operator="equal">
      <formula>$C$40</formula>
    </cfRule>
    <cfRule type="cellIs" dxfId="93" priority="165" operator="notEqual">
      <formula>$C$40</formula>
    </cfRule>
  </conditionalFormatting>
  <conditionalFormatting sqref="F41">
    <cfRule type="cellIs" dxfId="92" priority="164" operator="notEqual">
      <formula>$C$41</formula>
    </cfRule>
    <cfRule type="cellIs" dxfId="91" priority="163" operator="equal">
      <formula>$C$41</formula>
    </cfRule>
  </conditionalFormatting>
  <conditionalFormatting sqref="F42">
    <cfRule type="cellIs" dxfId="90" priority="162" operator="notEqual">
      <formula>$C$42</formula>
    </cfRule>
    <cfRule type="cellIs" dxfId="89" priority="161" operator="equal">
      <formula>$C$42</formula>
    </cfRule>
  </conditionalFormatting>
  <conditionalFormatting sqref="F43">
    <cfRule type="cellIs" dxfId="88" priority="159" operator="equal">
      <formula>$C$43</formula>
    </cfRule>
    <cfRule type="cellIs" dxfId="87" priority="160" operator="notEqual">
      <formula>$C$43</formula>
    </cfRule>
  </conditionalFormatting>
  <conditionalFormatting sqref="F44">
    <cfRule type="cellIs" dxfId="86" priority="158" operator="notEqual">
      <formula>$C$44</formula>
    </cfRule>
    <cfRule type="cellIs" dxfId="85" priority="157" operator="equal">
      <formula>$C$44</formula>
    </cfRule>
  </conditionalFormatting>
  <conditionalFormatting sqref="F45">
    <cfRule type="cellIs" dxfId="84" priority="155" operator="equal">
      <formula>$C$45</formula>
    </cfRule>
    <cfRule type="cellIs" dxfId="83" priority="156" operator="notEqual">
      <formula>$C$45</formula>
    </cfRule>
  </conditionalFormatting>
  <conditionalFormatting sqref="F46">
    <cfRule type="cellIs" dxfId="82" priority="153" operator="equal">
      <formula>$C$46</formula>
    </cfRule>
    <cfRule type="cellIs" dxfId="81" priority="154" operator="notEqual">
      <formula>$C$46</formula>
    </cfRule>
  </conditionalFormatting>
  <conditionalFormatting sqref="F217:F228">
    <cfRule type="cellIs" dxfId="80" priority="124" operator="greaterThan">
      <formula>0.1</formula>
    </cfRule>
    <cfRule type="cellIs" dxfId="79" priority="11" operator="lessThan">
      <formula>-0.1</formula>
    </cfRule>
  </conditionalFormatting>
  <conditionalFormatting sqref="G51:G55">
    <cfRule type="notContainsText" dxfId="78" priority="119" operator="notContains" text="Yes">
      <formula>ISERROR(SEARCH("Yes",G51))</formula>
    </cfRule>
    <cfRule type="cellIs" dxfId="77" priority="118" operator="equal">
      <formula>"Yes"</formula>
    </cfRule>
  </conditionalFormatting>
  <conditionalFormatting sqref="G60:G64">
    <cfRule type="notContainsText" dxfId="76" priority="105" operator="notContains" text="Yes">
      <formula>ISERROR(SEARCH("Yes",G60))</formula>
    </cfRule>
    <cfRule type="cellIs" dxfId="75" priority="104" operator="equal">
      <formula>"Yes"</formula>
    </cfRule>
  </conditionalFormatting>
  <conditionalFormatting sqref="H157:H166">
    <cfRule type="notContainsText" dxfId="74" priority="72" operator="notContains" text="TRUE">
      <formula>ISERROR(SEARCH("TRUE",H157))</formula>
    </cfRule>
    <cfRule type="containsText" dxfId="73" priority="73" operator="containsText" text="TRUE">
      <formula>NOT(ISERROR(SEARCH("TRUE",H157)))</formula>
    </cfRule>
  </conditionalFormatting>
  <conditionalFormatting sqref="H81:O90">
    <cfRule type="containsText" dxfId="72" priority="93" operator="containsText" text="TRUE">
      <formula>NOT(ISERROR(SEARCH("TRUE",H81)))</formula>
    </cfRule>
    <cfRule type="notContainsText" dxfId="71" priority="92" operator="notContains" text="TRUE">
      <formula>ISERROR(SEARCH("TRUE",H81))</formula>
    </cfRule>
  </conditionalFormatting>
  <conditionalFormatting sqref="H94:O103">
    <cfRule type="containsText" dxfId="70" priority="85" operator="containsText" text="TRUE">
      <formula>NOT(ISERROR(SEARCH("TRUE",H94)))</formula>
    </cfRule>
    <cfRule type="notContainsText" dxfId="69" priority="84" operator="notContains" text="TRUE">
      <formula>ISERROR(SEARCH("TRUE",H94))</formula>
    </cfRule>
  </conditionalFormatting>
  <conditionalFormatting sqref="H108:O117">
    <cfRule type="containsText" dxfId="68" priority="21" operator="containsText" text="TRUE">
      <formula>NOT(ISERROR(SEARCH("TRUE",H108)))</formula>
    </cfRule>
    <cfRule type="notContainsText" dxfId="67" priority="20" operator="notContains" text="TRUE">
      <formula>ISERROR(SEARCH("TRUE",H108))</formula>
    </cfRule>
  </conditionalFormatting>
  <conditionalFormatting sqref="H122:O131">
    <cfRule type="containsText" dxfId="66" priority="81" operator="containsText" text="TRUE">
      <formula>NOT(ISERROR(SEARCH("TRUE",H122)))</formula>
    </cfRule>
    <cfRule type="notContainsText" dxfId="65" priority="80" operator="notContains" text="TRUE">
      <formula>ISERROR(SEARCH("TRUE",H122))</formula>
    </cfRule>
  </conditionalFormatting>
  <conditionalFormatting sqref="H136:O145">
    <cfRule type="containsText" dxfId="64" priority="79" operator="containsText" text="TRUE">
      <formula>NOT(ISERROR(SEARCH("TRUE",H136)))</formula>
    </cfRule>
    <cfRule type="notContainsText" dxfId="63" priority="78" operator="notContains" text="TRUE">
      <formula>ISERROR(SEARCH("TRUE",H136))</formula>
    </cfRule>
  </conditionalFormatting>
  <conditionalFormatting sqref="H150:O151">
    <cfRule type="containsText" dxfId="62" priority="77" operator="containsText" text="TRUE">
      <formula>NOT(ISERROR(SEARCH("TRUE",H150)))</formula>
    </cfRule>
    <cfRule type="notContainsText" dxfId="61" priority="76" operator="notContains" text="TRUE">
      <formula>ISERROR(SEARCH("TRUE",H150))</formula>
    </cfRule>
  </conditionalFormatting>
  <conditionalFormatting sqref="I51:I53">
    <cfRule type="notContainsText" dxfId="60" priority="121" operator="notContains" text="Yes">
      <formula>ISERROR(SEARCH("Yes",I51))</formula>
    </cfRule>
  </conditionalFormatting>
  <conditionalFormatting sqref="I51:I55">
    <cfRule type="cellIs" dxfId="59" priority="120" operator="equal">
      <formula>"Yes"</formula>
    </cfRule>
  </conditionalFormatting>
  <conditionalFormatting sqref="I54">
    <cfRule type="expression" dxfId="58" priority="7">
      <formula>C1&lt;&gt;"Neighborhood Health Plan of RI"</formula>
    </cfRule>
  </conditionalFormatting>
  <conditionalFormatting sqref="I55">
    <cfRule type="notContainsText" dxfId="57" priority="10" operator="notContains" text="Yes">
      <formula>ISERROR(SEARCH("Yes",I55))</formula>
    </cfRule>
  </conditionalFormatting>
  <conditionalFormatting sqref="I60:I62">
    <cfRule type="notContainsText" dxfId="56" priority="4" operator="notContains" text="Yes">
      <formula>ISERROR(SEARCH("Yes",I60))</formula>
    </cfRule>
  </conditionalFormatting>
  <conditionalFormatting sqref="I60:I64">
    <cfRule type="cellIs" dxfId="55" priority="3" operator="equal">
      <formula>"Yes"</formula>
    </cfRule>
  </conditionalFormatting>
  <conditionalFormatting sqref="I63">
    <cfRule type="expression" dxfId="54" priority="1">
      <formula>C1&lt;&gt;"Neighborhood Health Plan of RI"</formula>
    </cfRule>
  </conditionalFormatting>
  <conditionalFormatting sqref="I64">
    <cfRule type="notContainsText" dxfId="53" priority="2" operator="notContains" text="Yes">
      <formula>ISERROR(SEARCH("Yes",I64))</formula>
    </cfRule>
  </conditionalFormatting>
  <conditionalFormatting sqref="I69:J75">
    <cfRule type="cellIs" dxfId="52" priority="110" operator="equal">
      <formula>"Yes"</formula>
    </cfRule>
    <cfRule type="notContainsText" dxfId="51" priority="111" operator="notContains" text="Yes">
      <formula>ISERROR(SEARCH("Yes",I69))</formula>
    </cfRule>
  </conditionalFormatting>
  <conditionalFormatting sqref="M157:M166">
    <cfRule type="containsText" dxfId="50" priority="71" operator="containsText" text="TRUE">
      <formula>NOT(ISERROR(SEARCH("TRUE",M157)))</formula>
    </cfRule>
    <cfRule type="notContainsText" dxfId="49" priority="70" operator="notContains" text="TRUE">
      <formula>ISERROR(SEARCH("TRUE",M157))</formula>
    </cfRule>
  </conditionalFormatting>
  <conditionalFormatting sqref="P157:P166">
    <cfRule type="containsText" dxfId="48" priority="69" operator="containsText" text="TRUE">
      <formula>NOT(ISERROR(SEARCH("TRUE",P157)))</formula>
    </cfRule>
    <cfRule type="notContainsText" dxfId="47" priority="68" operator="notContains" text="TRUE">
      <formula>ISERROR(SEARCH("TRUE",P157))</formula>
    </cfRule>
  </conditionalFormatting>
  <conditionalFormatting sqref="U157:U166">
    <cfRule type="containsText" dxfId="46" priority="67" operator="containsText" text="TRUE">
      <formula>NOT(ISERROR(SEARCH("TRUE",U157)))</formula>
    </cfRule>
    <cfRule type="notContainsText" dxfId="45" priority="66" operator="notContains" text="TRUE">
      <formula>ISERROR(SEARCH("TRUE",U157))</formula>
    </cfRule>
  </conditionalFormatting>
  <conditionalFormatting sqref="W81:AD90">
    <cfRule type="containsText" dxfId="44" priority="55" operator="containsText" text="TRUE">
      <formula>NOT(ISERROR(SEARCH("TRUE",W81)))</formula>
    </cfRule>
    <cfRule type="notContainsText" dxfId="43" priority="54" operator="notContains" text="TRUE">
      <formula>ISERROR(SEARCH("TRUE",W81))</formula>
    </cfRule>
  </conditionalFormatting>
  <conditionalFormatting sqref="W94:AD103">
    <cfRule type="containsText" dxfId="42" priority="19" operator="containsText" text="TRUE">
      <formula>NOT(ISERROR(SEARCH("TRUE",W94)))</formula>
    </cfRule>
    <cfRule type="notContainsText" dxfId="41" priority="18" operator="notContains" text="TRUE">
      <formula>ISERROR(SEARCH("TRUE",W94))</formula>
    </cfRule>
  </conditionalFormatting>
  <conditionalFormatting sqref="W108:AD117">
    <cfRule type="containsText" dxfId="40" priority="13" operator="containsText" text="TRUE">
      <formula>NOT(ISERROR(SEARCH("TRUE",W108)))</formula>
    </cfRule>
    <cfRule type="notContainsText" dxfId="39" priority="12" operator="notContains" text="TRUE">
      <formula>ISERROR(SEARCH("TRUE",W108))</formula>
    </cfRule>
  </conditionalFormatting>
  <conditionalFormatting sqref="W122:AD131">
    <cfRule type="containsText" dxfId="38" priority="61" operator="containsText" text="TRUE">
      <formula>NOT(ISERROR(SEARCH("TRUE",W122)))</formula>
    </cfRule>
    <cfRule type="notContainsText" dxfId="37" priority="60" operator="notContains" text="TRUE">
      <formula>ISERROR(SEARCH("TRUE",W122))</formula>
    </cfRule>
  </conditionalFormatting>
  <conditionalFormatting sqref="W136:AD145">
    <cfRule type="notContainsText" dxfId="36" priority="62" operator="notContains" text="TRUE">
      <formula>ISERROR(SEARCH("TRUE",W136))</formula>
    </cfRule>
    <cfRule type="containsText" dxfId="35" priority="63" operator="containsText" text="TRUE">
      <formula>NOT(ISERROR(SEARCH("TRUE",W136)))</formula>
    </cfRule>
  </conditionalFormatting>
  <conditionalFormatting sqref="W150:AD151">
    <cfRule type="notContainsText" dxfId="34" priority="52" operator="notContains" text="TRUE">
      <formula>ISERROR(SEARCH("TRUE",W150))</formula>
    </cfRule>
    <cfRule type="containsText" dxfId="33" priority="53" operator="containsText" text="TRUE">
      <formula>NOT(ISERROR(SEARCH("TRUE",W150)))</formula>
    </cfRule>
  </conditionalFormatting>
  <conditionalFormatting sqref="X157:X166">
    <cfRule type="notContainsText" dxfId="32" priority="64" operator="notContains" text="TRUE">
      <formula>ISERROR(SEARCH("TRUE",X157))</formula>
    </cfRule>
    <cfRule type="containsText" dxfId="31" priority="65" operator="containsText" text="TRUE">
      <formula>NOT(ISERROR(SEARCH("TRUE",X157)))</formula>
    </cfRule>
  </conditionalFormatting>
  <hyperlinks>
    <hyperlink ref="B5" location="MMConsistencyMkt" display="Alignment of member months across ACO/AE, Age/Sex, Line of Business, and Standard Deviation tabs by Market" xr:uid="{A76D32C8-75A0-4440-BF12-9C1297BBF93D}"/>
    <hyperlink ref="B6" location="MMConsistencyICC" display="Alignment of member months across the ACO/AE, and Age/Sex tabs by ICC" xr:uid="{7C814BAB-F2BF-4F27-A80B-65C8D205B0E8}"/>
    <hyperlink ref="B7" location="ReasonablePMPMs" display="Reasonableness of PMPMs - is there a greater than 10% difference between ICCs 3 and 4 for any Claims category?" xr:uid="{CF7AF1F1-E89A-451F-8298-8DF0DCC93090}"/>
    <hyperlink ref="B11" location="TruncSpendMMsbyICC" display="Alignment of truncated and non-truncated spending by ACO/AE across ACO/AE and Age/Sex tabs" xr:uid="{34BE2D48-B02C-403C-A517-E3CC8FE1568D}"/>
    <hyperlink ref="B12" location="TruncSpendMMsbyICC" display="Is truncated spending at the ACO/AE level greater than or equal to truncated spending for the Insurer Overall?" xr:uid="{BD930AFE-0A6B-4169-B5CE-A19AE6C19837}"/>
    <hyperlink ref="B15" location="ACOAE_MMs" display="For how many ACO/AEs was there a significant (&gt;10%) increase or decrease in member months attributed from 2021 to 2022?" xr:uid="{086AE610-8576-4198-8066-6A0C7E630AE1}"/>
    <hyperlink ref="B19" location="TruncSpendSDbyMkt" display="Alignment of Truncated Spending by Market between ACO/AE and Standard Deviation tabs" xr:uid="{652F3F58-9496-4893-AF19-CABDA19C984A}"/>
    <hyperlink ref="B76" location="'Data Validation'!A1" display="[back to top]" xr:uid="{FF354DB5-7008-4F38-9DA1-8AF56FC5EB52}"/>
    <hyperlink ref="B152" location="'Data Validation'!A1" display="[back to top]" xr:uid="{ACD9FB5A-1230-442B-904B-86E9B889E7FF}"/>
    <hyperlink ref="B167" location="'Data Validation'!A1" display="[back to top]" xr:uid="{2CCE43FE-A187-49CB-86DA-D4E77FC28861}"/>
    <hyperlink ref="B195" location="'Data Validation'!A1" display="[back to top]" xr:uid="{0E76D27B-1908-47AE-8FCC-95DEFB2B88CB}"/>
    <hyperlink ref="B212" location="'Data Validation'!A1" display="[back to top]" xr:uid="{D6F24F66-4CEA-4223-B93E-BFFB588F05F2}"/>
    <hyperlink ref="B268" location="'Data Validation'!A1" display="[back to top]" xr:uid="{F58A49E8-E40E-4195-AC6F-24E036235E09}"/>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Please select an option from the drop down menu." prompt="Please select an option from the drop down menu." xr:uid="{70B49168-C8B3-40E8-A801-5504546A0FE6}">
          <x14:formula1>
            <xm:f>'Reference Tables'!$B$27:$B$31</xm:f>
          </x14:formula1>
          <xm:sqref>C1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F97E7-E538-414B-AB63-691B20B7DF09}">
  <sheetPr codeName="Sheet1">
    <tabColor theme="0" tint="-0.249977111117893"/>
  </sheetPr>
  <dimension ref="B2:D16"/>
  <sheetViews>
    <sheetView tabSelected="1" workbookViewId="0"/>
  </sheetViews>
  <sheetFormatPr defaultRowHeight="14.5" x14ac:dyDescent="0.35"/>
  <cols>
    <col min="1" max="1" width="3.81640625" customWidth="1"/>
    <col min="2" max="2" width="32.26953125" customWidth="1"/>
    <col min="3" max="3" width="19.81640625" bestFit="1" customWidth="1"/>
    <col min="4" max="4" width="83.54296875" customWidth="1"/>
  </cols>
  <sheetData>
    <row r="2" spans="2:4" x14ac:dyDescent="0.35">
      <c r="B2" s="1" t="s">
        <v>33</v>
      </c>
      <c r="C2" s="1"/>
    </row>
    <row r="4" spans="2:4" x14ac:dyDescent="0.35">
      <c r="B4" s="204" t="s">
        <v>34</v>
      </c>
      <c r="C4" s="204" t="s">
        <v>156</v>
      </c>
      <c r="D4" s="204" t="s">
        <v>161</v>
      </c>
    </row>
    <row r="5" spans="2:4" ht="72.5" x14ac:dyDescent="0.35">
      <c r="B5" s="134" t="s">
        <v>37</v>
      </c>
      <c r="C5" s="135" t="s">
        <v>137</v>
      </c>
      <c r="D5" s="7" t="s">
        <v>162</v>
      </c>
    </row>
    <row r="6" spans="2:4" ht="77.25" customHeight="1" x14ac:dyDescent="0.35">
      <c r="B6" s="134" t="s">
        <v>36</v>
      </c>
      <c r="C6" s="135" t="s">
        <v>137</v>
      </c>
      <c r="D6" s="248" t="s">
        <v>501</v>
      </c>
    </row>
    <row r="7" spans="2:4" ht="43.5" x14ac:dyDescent="0.35">
      <c r="B7" s="134" t="s">
        <v>787</v>
      </c>
      <c r="C7" s="135" t="s">
        <v>144</v>
      </c>
      <c r="D7" s="7" t="s">
        <v>788</v>
      </c>
    </row>
    <row r="8" spans="2:4" ht="43.5" x14ac:dyDescent="0.35">
      <c r="B8" s="134" t="s">
        <v>789</v>
      </c>
      <c r="C8" s="135" t="s">
        <v>144</v>
      </c>
      <c r="D8" s="7" t="s">
        <v>790</v>
      </c>
    </row>
    <row r="9" spans="2:4" ht="29" x14ac:dyDescent="0.35">
      <c r="B9" s="134" t="s">
        <v>771</v>
      </c>
      <c r="C9" s="135" t="s">
        <v>144</v>
      </c>
      <c r="D9" s="7" t="s">
        <v>791</v>
      </c>
    </row>
    <row r="10" spans="2:4" ht="58" x14ac:dyDescent="0.35">
      <c r="B10" s="134" t="s">
        <v>540</v>
      </c>
      <c r="C10" s="135" t="s">
        <v>144</v>
      </c>
      <c r="D10" s="7" t="s">
        <v>792</v>
      </c>
    </row>
    <row r="11" spans="2:4" ht="29" x14ac:dyDescent="0.35">
      <c r="B11" s="134" t="s">
        <v>793</v>
      </c>
      <c r="C11" s="135" t="s">
        <v>144</v>
      </c>
      <c r="D11" s="7" t="s">
        <v>794</v>
      </c>
    </row>
    <row r="12" spans="2:4" ht="29.15" customHeight="1" x14ac:dyDescent="0.35">
      <c r="B12" s="134" t="s">
        <v>795</v>
      </c>
      <c r="C12" s="135" t="s">
        <v>144</v>
      </c>
      <c r="D12" s="7" t="s">
        <v>796</v>
      </c>
    </row>
    <row r="13" spans="2:4" ht="29" x14ac:dyDescent="0.35">
      <c r="B13" s="134" t="s">
        <v>35</v>
      </c>
      <c r="C13" s="135" t="s">
        <v>144</v>
      </c>
      <c r="D13" s="7" t="s">
        <v>160</v>
      </c>
    </row>
    <row r="14" spans="2:4" ht="87" x14ac:dyDescent="0.35">
      <c r="B14" s="134" t="s">
        <v>136</v>
      </c>
      <c r="C14" s="135" t="s">
        <v>137</v>
      </c>
      <c r="D14" s="7" t="s">
        <v>499</v>
      </c>
    </row>
    <row r="15" spans="2:4" ht="87" x14ac:dyDescent="0.35">
      <c r="B15" s="134" t="s">
        <v>498</v>
      </c>
      <c r="C15" s="135" t="s">
        <v>137</v>
      </c>
      <c r="D15" s="7" t="s">
        <v>500</v>
      </c>
    </row>
    <row r="16" spans="2:4" ht="116" x14ac:dyDescent="0.35">
      <c r="B16" s="134" t="s">
        <v>769</v>
      </c>
      <c r="C16" s="135" t="s">
        <v>137</v>
      </c>
      <c r="D16" s="7" t="s">
        <v>799</v>
      </c>
    </row>
  </sheetData>
  <sheetProtection algorithmName="SHA-512" hashValue="aD1sWOvUKSh6FM+EA5NwxlFqqZPNDGgbH22cCQbm9GYhl59sXb8rgPker004Pr7abrPc7C/6k+7ewLQBPrRZGw==" saltValue="VFGMhKpVysZkLQh9HqfG5w=="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DBD31-47B4-49E7-BCF5-08D2BB256923}">
  <sheetPr codeName="Sheet2">
    <tabColor theme="0" tint="-0.249977111117893"/>
  </sheetPr>
  <dimension ref="A1:F239"/>
  <sheetViews>
    <sheetView workbookViewId="0">
      <selection sqref="A1:B2"/>
    </sheetView>
  </sheetViews>
  <sheetFormatPr defaultColWidth="8.7265625" defaultRowHeight="14.5" x14ac:dyDescent="0.35"/>
  <cols>
    <col min="1" max="1" width="42.1796875" style="374" customWidth="1"/>
    <col min="2" max="2" width="64.81640625" style="367" customWidth="1"/>
    <col min="3" max="3" width="32.26953125" style="367" bestFit="1" customWidth="1"/>
    <col min="4" max="4" width="9.1796875" style="367"/>
    <col min="5" max="5" width="13.1796875" style="367" customWidth="1"/>
    <col min="6" max="16384" width="8.7265625" style="367"/>
  </cols>
  <sheetData>
    <row r="1" spans="1:5" x14ac:dyDescent="0.35">
      <c r="A1" s="574" t="s">
        <v>95</v>
      </c>
      <c r="B1" s="574"/>
      <c r="C1" s="371"/>
      <c r="D1" s="371"/>
      <c r="E1" s="371"/>
    </row>
    <row r="2" spans="1:5" x14ac:dyDescent="0.35">
      <c r="A2" s="574"/>
      <c r="B2" s="574"/>
      <c r="C2" s="371"/>
      <c r="D2" s="371"/>
      <c r="E2" s="371"/>
    </row>
    <row r="3" spans="1:5" x14ac:dyDescent="0.35">
      <c r="A3" s="367"/>
    </row>
    <row r="4" spans="1:5" x14ac:dyDescent="0.35">
      <c r="A4" s="217" t="s">
        <v>96</v>
      </c>
      <c r="B4" s="217" t="s">
        <v>97</v>
      </c>
      <c r="C4" s="372"/>
      <c r="D4" s="372"/>
      <c r="E4" s="372"/>
    </row>
    <row r="5" spans="1:5" x14ac:dyDescent="0.35">
      <c r="A5" s="18">
        <v>44470</v>
      </c>
      <c r="B5" s="17" t="s">
        <v>164</v>
      </c>
    </row>
    <row r="6" spans="1:5" x14ac:dyDescent="0.35">
      <c r="A6" s="18" t="s">
        <v>526</v>
      </c>
      <c r="B6" s="17" t="s">
        <v>165</v>
      </c>
    </row>
    <row r="7" spans="1:5" x14ac:dyDescent="0.35">
      <c r="A7" s="18" t="s">
        <v>527</v>
      </c>
      <c r="B7" s="17" t="s">
        <v>166</v>
      </c>
    </row>
    <row r="8" spans="1:5" x14ac:dyDescent="0.35">
      <c r="A8" s="367"/>
    </row>
    <row r="9" spans="1:5" ht="29" x14ac:dyDescent="0.35">
      <c r="A9" s="218" t="s">
        <v>505</v>
      </c>
      <c r="B9" s="219" t="s">
        <v>506</v>
      </c>
      <c r="D9" s="372"/>
      <c r="E9" s="372"/>
    </row>
    <row r="10" spans="1:5" x14ac:dyDescent="0.35">
      <c r="A10" s="11">
        <v>100</v>
      </c>
      <c r="B10" s="10" t="s">
        <v>507</v>
      </c>
      <c r="D10" s="372"/>
      <c r="E10" s="372"/>
    </row>
    <row r="11" spans="1:5" x14ac:dyDescent="0.35">
      <c r="A11" s="10">
        <v>101</v>
      </c>
      <c r="B11" s="188" t="s">
        <v>167</v>
      </c>
    </row>
    <row r="12" spans="1:5" x14ac:dyDescent="0.35">
      <c r="A12" s="10">
        <v>102</v>
      </c>
      <c r="B12" s="188" t="s">
        <v>190</v>
      </c>
    </row>
    <row r="13" spans="1:5" x14ac:dyDescent="0.35">
      <c r="A13" s="10">
        <v>103</v>
      </c>
      <c r="B13" s="188" t="s">
        <v>168</v>
      </c>
    </row>
    <row r="14" spans="1:5" x14ac:dyDescent="0.35">
      <c r="A14" s="10">
        <v>104</v>
      </c>
      <c r="B14" s="188" t="s">
        <v>191</v>
      </c>
    </row>
    <row r="15" spans="1:5" x14ac:dyDescent="0.35">
      <c r="A15" s="10">
        <v>105</v>
      </c>
      <c r="B15" s="188" t="s">
        <v>169</v>
      </c>
    </row>
    <row r="16" spans="1:5" x14ac:dyDescent="0.35">
      <c r="A16" s="10">
        <v>106</v>
      </c>
      <c r="B16" s="188" t="s">
        <v>170</v>
      </c>
    </row>
    <row r="17" spans="1:5" x14ac:dyDescent="0.35">
      <c r="A17" s="10">
        <v>107</v>
      </c>
      <c r="B17" s="188" t="s">
        <v>171</v>
      </c>
    </row>
    <row r="18" spans="1:5" x14ac:dyDescent="0.35">
      <c r="A18" s="16">
        <v>108</v>
      </c>
      <c r="B18" s="188" t="s">
        <v>508</v>
      </c>
    </row>
    <row r="19" spans="1:5" x14ac:dyDescent="0.35">
      <c r="A19" s="16">
        <v>999</v>
      </c>
      <c r="B19" s="188" t="s">
        <v>172</v>
      </c>
    </row>
    <row r="21" spans="1:5" x14ac:dyDescent="0.35">
      <c r="A21" s="16" t="s">
        <v>121</v>
      </c>
      <c r="B21" s="16" t="s">
        <v>586</v>
      </c>
    </row>
    <row r="22" spans="1:5" x14ac:dyDescent="0.35">
      <c r="A22" s="16" t="s">
        <v>8</v>
      </c>
      <c r="B22" s="10" t="s">
        <v>617</v>
      </c>
    </row>
    <row r="23" spans="1:5" x14ac:dyDescent="0.35">
      <c r="A23" s="16" t="s">
        <v>9</v>
      </c>
      <c r="B23" s="10" t="s">
        <v>618</v>
      </c>
    </row>
    <row r="24" spans="1:5" x14ac:dyDescent="0.35">
      <c r="A24" s="16" t="s">
        <v>163</v>
      </c>
      <c r="B24" s="10" t="s">
        <v>619</v>
      </c>
    </row>
    <row r="25" spans="1:5" x14ac:dyDescent="0.35">
      <c r="B25" s="10"/>
    </row>
    <row r="26" spans="1:5" x14ac:dyDescent="0.35">
      <c r="A26" s="219" t="s">
        <v>183</v>
      </c>
      <c r="B26" s="219" t="s">
        <v>0</v>
      </c>
      <c r="C26" s="373"/>
      <c r="D26" s="372"/>
      <c r="E26" s="372"/>
    </row>
    <row r="27" spans="1:5" x14ac:dyDescent="0.35">
      <c r="A27" s="10">
        <v>201</v>
      </c>
      <c r="B27" s="188" t="s">
        <v>173</v>
      </c>
      <c r="C27" s="373"/>
    </row>
    <row r="28" spans="1:5" x14ac:dyDescent="0.35">
      <c r="A28" s="10">
        <v>202</v>
      </c>
      <c r="B28" s="188" t="s">
        <v>174</v>
      </c>
      <c r="C28" s="373"/>
    </row>
    <row r="29" spans="1:5" x14ac:dyDescent="0.35">
      <c r="A29" s="10">
        <v>203</v>
      </c>
      <c r="B29" s="188" t="s">
        <v>175</v>
      </c>
      <c r="C29" s="373"/>
    </row>
    <row r="30" spans="1:5" x14ac:dyDescent="0.35">
      <c r="A30" s="10">
        <v>204</v>
      </c>
      <c r="B30" s="188" t="s">
        <v>176</v>
      </c>
      <c r="C30" s="373"/>
    </row>
    <row r="31" spans="1:5" x14ac:dyDescent="0.35">
      <c r="A31" s="16">
        <v>205</v>
      </c>
      <c r="B31" s="188" t="s">
        <v>177</v>
      </c>
      <c r="C31" s="373"/>
    </row>
    <row r="32" spans="1:5" x14ac:dyDescent="0.35">
      <c r="B32"/>
    </row>
    <row r="33" spans="1:6" x14ac:dyDescent="0.35">
      <c r="A33" s="220" t="s">
        <v>3</v>
      </c>
      <c r="B33" s="219" t="s">
        <v>90</v>
      </c>
      <c r="C33" s="372"/>
      <c r="D33" s="372"/>
      <c r="E33" s="372"/>
      <c r="F33" s="372"/>
    </row>
    <row r="34" spans="1:6" ht="29" x14ac:dyDescent="0.35">
      <c r="A34" s="190">
        <v>1</v>
      </c>
      <c r="B34" s="11" t="s">
        <v>178</v>
      </c>
    </row>
    <row r="35" spans="1:6" ht="29" x14ac:dyDescent="0.35">
      <c r="A35" s="190">
        <v>2</v>
      </c>
      <c r="B35" s="11" t="s">
        <v>179</v>
      </c>
    </row>
    <row r="36" spans="1:6" x14ac:dyDescent="0.35">
      <c r="A36" s="190">
        <v>3</v>
      </c>
      <c r="B36" s="11" t="s">
        <v>98</v>
      </c>
    </row>
    <row r="37" spans="1:6" x14ac:dyDescent="0.35">
      <c r="A37" s="190">
        <v>4</v>
      </c>
      <c r="B37" s="11" t="s">
        <v>127</v>
      </c>
    </row>
    <row r="38" spans="1:6" x14ac:dyDescent="0.35">
      <c r="A38" s="190">
        <v>5</v>
      </c>
      <c r="B38" s="11" t="s">
        <v>99</v>
      </c>
    </row>
    <row r="39" spans="1:6" x14ac:dyDescent="0.35">
      <c r="A39" s="190">
        <v>6</v>
      </c>
      <c r="B39" s="11" t="s">
        <v>100</v>
      </c>
      <c r="C39" s="375"/>
      <c r="D39" s="375"/>
      <c r="E39" s="375"/>
    </row>
    <row r="40" spans="1:6" ht="29" x14ac:dyDescent="0.35">
      <c r="A40" s="190">
        <v>7</v>
      </c>
      <c r="B40" s="11" t="s">
        <v>180</v>
      </c>
      <c r="C40" s="375"/>
      <c r="D40" s="375"/>
      <c r="E40" s="375"/>
    </row>
    <row r="41" spans="1:6" x14ac:dyDescent="0.35">
      <c r="A41" s="190">
        <v>8</v>
      </c>
      <c r="B41" s="11" t="s">
        <v>30</v>
      </c>
    </row>
    <row r="42" spans="1:6" x14ac:dyDescent="0.35">
      <c r="A42" s="16"/>
      <c r="B42"/>
    </row>
    <row r="43" spans="1:6" x14ac:dyDescent="0.35">
      <c r="A43" s="220" t="s">
        <v>518</v>
      </c>
      <c r="B43" s="219" t="s">
        <v>90</v>
      </c>
      <c r="C43" s="372"/>
      <c r="D43" s="372"/>
      <c r="E43" s="372"/>
    </row>
    <row r="44" spans="1:6" x14ac:dyDescent="0.35">
      <c r="A44" s="16">
        <v>901</v>
      </c>
      <c r="B44" s="10" t="s">
        <v>101</v>
      </c>
    </row>
    <row r="45" spans="1:6" x14ac:dyDescent="0.35">
      <c r="A45" s="16">
        <v>902</v>
      </c>
      <c r="B45" s="10" t="s">
        <v>102</v>
      </c>
    </row>
    <row r="46" spans="1:6" x14ac:dyDescent="0.35">
      <c r="A46" s="16">
        <v>903</v>
      </c>
      <c r="B46" s="10" t="s">
        <v>103</v>
      </c>
    </row>
    <row r="47" spans="1:6" x14ac:dyDescent="0.35">
      <c r="A47" s="16">
        <v>904</v>
      </c>
      <c r="B47" s="10" t="s">
        <v>104</v>
      </c>
    </row>
    <row r="48" spans="1:6" x14ac:dyDescent="0.35">
      <c r="A48" s="16">
        <v>905</v>
      </c>
      <c r="B48" s="10" t="s">
        <v>105</v>
      </c>
    </row>
    <row r="49" spans="1:3" x14ac:dyDescent="0.35">
      <c r="A49" s="16">
        <v>906</v>
      </c>
      <c r="B49" s="10" t="s">
        <v>24</v>
      </c>
    </row>
    <row r="50" spans="1:3" x14ac:dyDescent="0.35">
      <c r="A50" s="16">
        <v>907</v>
      </c>
      <c r="B50" s="10" t="s">
        <v>106</v>
      </c>
    </row>
    <row r="51" spans="1:3" x14ac:dyDescent="0.35">
      <c r="A51" s="16">
        <v>908</v>
      </c>
      <c r="B51" s="10" t="s">
        <v>107</v>
      </c>
    </row>
    <row r="53" spans="1:3" x14ac:dyDescent="0.35">
      <c r="A53" s="220" t="s">
        <v>3</v>
      </c>
      <c r="B53" s="219" t="s">
        <v>90</v>
      </c>
      <c r="C53" s="221" t="s">
        <v>270</v>
      </c>
    </row>
    <row r="54" spans="1:3" ht="29" x14ac:dyDescent="0.35">
      <c r="A54" s="190">
        <v>1</v>
      </c>
      <c r="B54" s="211" t="s">
        <v>178</v>
      </c>
      <c r="C54" s="212">
        <v>100000</v>
      </c>
    </row>
    <row r="55" spans="1:3" ht="29" x14ac:dyDescent="0.35">
      <c r="A55" s="190">
        <v>2</v>
      </c>
      <c r="B55" s="211" t="s">
        <v>179</v>
      </c>
      <c r="C55" s="212">
        <v>250000</v>
      </c>
    </row>
    <row r="56" spans="1:3" x14ac:dyDescent="0.35">
      <c r="A56" s="190">
        <v>3</v>
      </c>
      <c r="B56" s="211" t="s">
        <v>98</v>
      </c>
      <c r="C56" s="212">
        <v>150000</v>
      </c>
    </row>
    <row r="57" spans="1:3" x14ac:dyDescent="0.35">
      <c r="A57" s="190">
        <v>4</v>
      </c>
      <c r="B57" s="211" t="s">
        <v>127</v>
      </c>
      <c r="C57" s="212">
        <v>150000</v>
      </c>
    </row>
    <row r="58" spans="1:3" x14ac:dyDescent="0.35">
      <c r="A58" s="190">
        <v>5</v>
      </c>
      <c r="B58" s="211" t="s">
        <v>99</v>
      </c>
      <c r="C58" s="212">
        <v>100000</v>
      </c>
    </row>
    <row r="59" spans="1:3" x14ac:dyDescent="0.35">
      <c r="A59" s="190">
        <v>6</v>
      </c>
      <c r="B59" s="211" t="s">
        <v>100</v>
      </c>
      <c r="C59" s="212">
        <v>250000</v>
      </c>
    </row>
    <row r="60" spans="1:3" ht="29" x14ac:dyDescent="0.35">
      <c r="A60" s="190">
        <v>7</v>
      </c>
      <c r="B60" s="211" t="s">
        <v>180</v>
      </c>
      <c r="C60" s="212">
        <v>250000</v>
      </c>
    </row>
    <row r="61" spans="1:3" ht="29" x14ac:dyDescent="0.35">
      <c r="A61" s="190">
        <v>8</v>
      </c>
      <c r="B61" s="211" t="s">
        <v>30</v>
      </c>
      <c r="C61" s="211" t="s">
        <v>271</v>
      </c>
    </row>
    <row r="63" spans="1:3" x14ac:dyDescent="0.35">
      <c r="A63" s="244" t="s">
        <v>528</v>
      </c>
      <c r="B63" s="245" t="s">
        <v>529</v>
      </c>
    </row>
    <row r="64" spans="1:3" x14ac:dyDescent="0.35">
      <c r="A64" s="16">
        <v>1</v>
      </c>
      <c r="B64" t="s">
        <v>530</v>
      </c>
    </row>
    <row r="65" spans="1:3" x14ac:dyDescent="0.35">
      <c r="A65" s="16">
        <v>2</v>
      </c>
      <c r="B65" t="s">
        <v>531</v>
      </c>
    </row>
    <row r="66" spans="1:3" x14ac:dyDescent="0.35">
      <c r="A66" s="16">
        <v>3</v>
      </c>
      <c r="B66" t="s">
        <v>532</v>
      </c>
    </row>
    <row r="67" spans="1:3" x14ac:dyDescent="0.35">
      <c r="A67" s="16">
        <v>4</v>
      </c>
      <c r="B67" t="s">
        <v>533</v>
      </c>
    </row>
    <row r="68" spans="1:3" x14ac:dyDescent="0.35">
      <c r="A68" s="16">
        <v>5</v>
      </c>
      <c r="B68" t="s">
        <v>534</v>
      </c>
    </row>
    <row r="69" spans="1:3" x14ac:dyDescent="0.35">
      <c r="A69" s="16">
        <v>6</v>
      </c>
      <c r="B69" t="s">
        <v>535</v>
      </c>
    </row>
    <row r="70" spans="1:3" x14ac:dyDescent="0.35">
      <c r="A70" s="16">
        <v>7</v>
      </c>
      <c r="B70" t="s">
        <v>536</v>
      </c>
    </row>
    <row r="71" spans="1:3" x14ac:dyDescent="0.35">
      <c r="A71" s="16">
        <v>8</v>
      </c>
      <c r="B71" t="s">
        <v>537</v>
      </c>
    </row>
    <row r="72" spans="1:3" x14ac:dyDescent="0.35">
      <c r="A72" s="16"/>
      <c r="B72"/>
    </row>
    <row r="73" spans="1:3" x14ac:dyDescent="0.35">
      <c r="A73" s="247" t="s">
        <v>538</v>
      </c>
      <c r="B73" s="245" t="s">
        <v>529</v>
      </c>
    </row>
    <row r="74" spans="1:3" x14ac:dyDescent="0.35">
      <c r="A74" s="246">
        <v>1</v>
      </c>
      <c r="B74" s="230" t="s">
        <v>192</v>
      </c>
    </row>
    <row r="75" spans="1:3" x14ac:dyDescent="0.35">
      <c r="A75" s="246">
        <v>2</v>
      </c>
      <c r="B75" s="230" t="s">
        <v>193</v>
      </c>
    </row>
    <row r="78" spans="1:3" ht="29" x14ac:dyDescent="0.35">
      <c r="A78" s="222" t="s">
        <v>497</v>
      </c>
      <c r="B78" s="223" t="s">
        <v>330</v>
      </c>
      <c r="C78" s="223" t="s">
        <v>279</v>
      </c>
    </row>
    <row r="79" spans="1:3" x14ac:dyDescent="0.35">
      <c r="A79" s="214" t="s">
        <v>280</v>
      </c>
      <c r="B79" s="213" t="s">
        <v>281</v>
      </c>
      <c r="C79" s="216"/>
    </row>
    <row r="80" spans="1:3" x14ac:dyDescent="0.35">
      <c r="A80" s="214" t="s">
        <v>282</v>
      </c>
      <c r="B80" s="213" t="s">
        <v>283</v>
      </c>
      <c r="C80" s="216"/>
    </row>
    <row r="81" spans="1:3" x14ac:dyDescent="0.35">
      <c r="A81" s="214" t="s">
        <v>284</v>
      </c>
      <c r="B81" s="213" t="s">
        <v>285</v>
      </c>
      <c r="C81" s="216"/>
    </row>
    <row r="82" spans="1:3" x14ac:dyDescent="0.35">
      <c r="A82" s="214" t="s">
        <v>286</v>
      </c>
      <c r="B82" s="213" t="s">
        <v>287</v>
      </c>
      <c r="C82" s="216"/>
    </row>
    <row r="83" spans="1:3" x14ac:dyDescent="0.35">
      <c r="A83" s="214" t="s">
        <v>288</v>
      </c>
      <c r="B83" s="213" t="s">
        <v>289</v>
      </c>
      <c r="C83" s="216"/>
    </row>
    <row r="84" spans="1:3" ht="29" x14ac:dyDescent="0.35">
      <c r="A84" s="214" t="s">
        <v>290</v>
      </c>
      <c r="B84" s="213" t="s">
        <v>291</v>
      </c>
      <c r="C84" s="216" t="s">
        <v>292</v>
      </c>
    </row>
    <row r="85" spans="1:3" x14ac:dyDescent="0.35">
      <c r="A85" s="214" t="s">
        <v>293</v>
      </c>
      <c r="B85" s="213" t="s">
        <v>294</v>
      </c>
      <c r="C85" s="216"/>
    </row>
    <row r="86" spans="1:3" x14ac:dyDescent="0.35">
      <c r="A86" s="214" t="s">
        <v>295</v>
      </c>
      <c r="B86" s="213" t="s">
        <v>296</v>
      </c>
      <c r="C86" s="216"/>
    </row>
    <row r="87" spans="1:3" ht="29" x14ac:dyDescent="0.35">
      <c r="A87" s="214" t="s">
        <v>297</v>
      </c>
      <c r="B87" s="213" t="s">
        <v>298</v>
      </c>
      <c r="C87" s="216" t="s">
        <v>292</v>
      </c>
    </row>
    <row r="88" spans="1:3" x14ac:dyDescent="0.35">
      <c r="A88" s="215" t="s">
        <v>299</v>
      </c>
      <c r="B88" s="211" t="s">
        <v>300</v>
      </c>
      <c r="C88" s="216"/>
    </row>
    <row r="89" spans="1:3" x14ac:dyDescent="0.35">
      <c r="A89" s="215" t="s">
        <v>301</v>
      </c>
      <c r="B89" s="211" t="s">
        <v>302</v>
      </c>
      <c r="C89" s="216"/>
    </row>
    <row r="90" spans="1:3" x14ac:dyDescent="0.35">
      <c r="A90" s="215" t="s">
        <v>303</v>
      </c>
      <c r="B90" s="211" t="s">
        <v>304</v>
      </c>
      <c r="C90" s="216"/>
    </row>
    <row r="91" spans="1:3" ht="29" x14ac:dyDescent="0.35">
      <c r="A91" s="215" t="s">
        <v>305</v>
      </c>
      <c r="B91" s="211" t="s">
        <v>306</v>
      </c>
      <c r="C91" s="216" t="s">
        <v>292</v>
      </c>
    </row>
    <row r="92" spans="1:3" x14ac:dyDescent="0.35">
      <c r="A92" s="215" t="s">
        <v>307</v>
      </c>
      <c r="B92" s="211" t="s">
        <v>308</v>
      </c>
      <c r="C92" s="216"/>
    </row>
    <row r="93" spans="1:3" x14ac:dyDescent="0.35">
      <c r="A93" s="215" t="s">
        <v>309</v>
      </c>
      <c r="B93" s="211" t="s">
        <v>310</v>
      </c>
      <c r="C93" s="216"/>
    </row>
    <row r="94" spans="1:3" x14ac:dyDescent="0.35">
      <c r="A94" s="215" t="s">
        <v>311</v>
      </c>
      <c r="B94" s="211" t="s">
        <v>312</v>
      </c>
      <c r="C94" s="216"/>
    </row>
    <row r="95" spans="1:3" x14ac:dyDescent="0.35">
      <c r="A95" s="215" t="s">
        <v>313</v>
      </c>
      <c r="B95" s="211" t="s">
        <v>314</v>
      </c>
      <c r="C95" s="216"/>
    </row>
    <row r="96" spans="1:3" x14ac:dyDescent="0.35">
      <c r="A96" s="215" t="s">
        <v>315</v>
      </c>
      <c r="B96" s="211" t="s">
        <v>316</v>
      </c>
      <c r="C96" s="216"/>
    </row>
    <row r="97" spans="1:3" x14ac:dyDescent="0.35">
      <c r="A97" s="215" t="s">
        <v>317</v>
      </c>
      <c r="B97" s="211" t="s">
        <v>318</v>
      </c>
      <c r="C97" s="216"/>
    </row>
    <row r="98" spans="1:3" x14ac:dyDescent="0.35">
      <c r="A98" s="215" t="s">
        <v>319</v>
      </c>
      <c r="B98" s="211" t="s">
        <v>320</v>
      </c>
      <c r="C98" s="216"/>
    </row>
    <row r="99" spans="1:3" x14ac:dyDescent="0.35">
      <c r="A99" s="215" t="s">
        <v>321</v>
      </c>
      <c r="B99" s="211" t="s">
        <v>322</v>
      </c>
      <c r="C99" s="216"/>
    </row>
    <row r="100" spans="1:3" x14ac:dyDescent="0.35">
      <c r="A100" s="215" t="s">
        <v>323</v>
      </c>
      <c r="B100" s="211" t="s">
        <v>324</v>
      </c>
      <c r="C100" s="216"/>
    </row>
    <row r="101" spans="1:3" x14ac:dyDescent="0.35">
      <c r="A101" s="215" t="s">
        <v>325</v>
      </c>
      <c r="B101" s="211" t="s">
        <v>326</v>
      </c>
      <c r="C101" s="216"/>
    </row>
    <row r="102" spans="1:3" ht="58" customHeight="1" x14ac:dyDescent="0.35">
      <c r="A102" s="215" t="s">
        <v>327</v>
      </c>
      <c r="B102" s="211" t="s">
        <v>328</v>
      </c>
      <c r="C102" s="216" t="s">
        <v>329</v>
      </c>
    </row>
    <row r="104" spans="1:3" x14ac:dyDescent="0.35">
      <c r="A104" s="224" t="s">
        <v>331</v>
      </c>
      <c r="B104" s="223" t="s">
        <v>332</v>
      </c>
      <c r="C104" s="223" t="s">
        <v>333</v>
      </c>
    </row>
    <row r="105" spans="1:3" ht="72.5" x14ac:dyDescent="0.35">
      <c r="A105" s="214">
        <v>99202</v>
      </c>
      <c r="B105" s="213" t="s">
        <v>334</v>
      </c>
      <c r="C105" s="216" t="s">
        <v>335</v>
      </c>
    </row>
    <row r="106" spans="1:3" ht="72.5" x14ac:dyDescent="0.35">
      <c r="A106" s="214">
        <v>99203</v>
      </c>
      <c r="B106" s="213" t="s">
        <v>336</v>
      </c>
      <c r="C106" s="216" t="s">
        <v>335</v>
      </c>
    </row>
    <row r="107" spans="1:3" ht="72.5" x14ac:dyDescent="0.35">
      <c r="A107" s="214">
        <v>99204</v>
      </c>
      <c r="B107" s="213" t="s">
        <v>337</v>
      </c>
      <c r="C107" s="216" t="s">
        <v>335</v>
      </c>
    </row>
    <row r="108" spans="1:3" ht="87" x14ac:dyDescent="0.35">
      <c r="A108" s="214">
        <v>99205</v>
      </c>
      <c r="B108" s="213" t="s">
        <v>338</v>
      </c>
      <c r="C108" s="216" t="s">
        <v>335</v>
      </c>
    </row>
    <row r="109" spans="1:3" ht="58" x14ac:dyDescent="0.35">
      <c r="A109" s="214">
        <v>99211</v>
      </c>
      <c r="B109" s="213" t="s">
        <v>782</v>
      </c>
      <c r="C109" s="216" t="s">
        <v>335</v>
      </c>
    </row>
    <row r="110" spans="1:3" ht="72.5" x14ac:dyDescent="0.35">
      <c r="A110" s="214">
        <v>99212</v>
      </c>
      <c r="B110" s="213" t="s">
        <v>339</v>
      </c>
      <c r="C110" s="216" t="s">
        <v>335</v>
      </c>
    </row>
    <row r="111" spans="1:3" ht="72.5" x14ac:dyDescent="0.35">
      <c r="A111" s="214">
        <v>99213</v>
      </c>
      <c r="B111" s="213" t="s">
        <v>340</v>
      </c>
      <c r="C111" s="216" t="s">
        <v>335</v>
      </c>
    </row>
    <row r="112" spans="1:3" ht="72.5" x14ac:dyDescent="0.35">
      <c r="A112" s="214">
        <v>99214</v>
      </c>
      <c r="B112" s="213" t="s">
        <v>341</v>
      </c>
      <c r="C112" s="216" t="s">
        <v>335</v>
      </c>
    </row>
    <row r="113" spans="1:3" ht="87" x14ac:dyDescent="0.35">
      <c r="A113" s="214">
        <v>99215</v>
      </c>
      <c r="B113" s="213" t="s">
        <v>342</v>
      </c>
      <c r="C113" s="216" t="s">
        <v>335</v>
      </c>
    </row>
    <row r="114" spans="1:3" x14ac:dyDescent="0.35">
      <c r="A114" s="215">
        <v>99381</v>
      </c>
      <c r="B114" s="211" t="s">
        <v>343</v>
      </c>
      <c r="C114" s="216" t="s">
        <v>344</v>
      </c>
    </row>
    <row r="115" spans="1:3" x14ac:dyDescent="0.35">
      <c r="A115" s="215">
        <v>99382</v>
      </c>
      <c r="B115" s="211" t="s">
        <v>345</v>
      </c>
      <c r="C115" s="216" t="s">
        <v>344</v>
      </c>
    </row>
    <row r="116" spans="1:3" x14ac:dyDescent="0.35">
      <c r="A116" s="215">
        <v>99383</v>
      </c>
      <c r="B116" s="211" t="s">
        <v>346</v>
      </c>
      <c r="C116" s="216" t="s">
        <v>344</v>
      </c>
    </row>
    <row r="117" spans="1:3" x14ac:dyDescent="0.35">
      <c r="A117" s="215">
        <v>99384</v>
      </c>
      <c r="B117" s="211" t="s">
        <v>347</v>
      </c>
      <c r="C117" s="216" t="s">
        <v>344</v>
      </c>
    </row>
    <row r="118" spans="1:3" x14ac:dyDescent="0.35">
      <c r="A118" s="215">
        <v>99385</v>
      </c>
      <c r="B118" s="211" t="s">
        <v>348</v>
      </c>
      <c r="C118" s="216" t="s">
        <v>344</v>
      </c>
    </row>
    <row r="119" spans="1:3" x14ac:dyDescent="0.35">
      <c r="A119" s="215">
        <v>99386</v>
      </c>
      <c r="B119" s="211" t="s">
        <v>349</v>
      </c>
      <c r="C119" s="216" t="s">
        <v>344</v>
      </c>
    </row>
    <row r="120" spans="1:3" x14ac:dyDescent="0.35">
      <c r="A120" s="215">
        <v>99387</v>
      </c>
      <c r="B120" s="211" t="s">
        <v>350</v>
      </c>
      <c r="C120" s="216" t="s">
        <v>344</v>
      </c>
    </row>
    <row r="121" spans="1:3" x14ac:dyDescent="0.35">
      <c r="A121" s="215">
        <v>99391</v>
      </c>
      <c r="B121" s="211" t="s">
        <v>351</v>
      </c>
      <c r="C121" s="216" t="s">
        <v>344</v>
      </c>
    </row>
    <row r="122" spans="1:3" x14ac:dyDescent="0.35">
      <c r="A122" s="215">
        <v>99392</v>
      </c>
      <c r="B122" s="211" t="s">
        <v>352</v>
      </c>
      <c r="C122" s="216" t="s">
        <v>344</v>
      </c>
    </row>
    <row r="123" spans="1:3" x14ac:dyDescent="0.35">
      <c r="A123" s="215">
        <v>99393</v>
      </c>
      <c r="B123" s="211" t="s">
        <v>353</v>
      </c>
      <c r="C123" s="216" t="s">
        <v>344</v>
      </c>
    </row>
    <row r="124" spans="1:3" x14ac:dyDescent="0.35">
      <c r="A124" s="215">
        <v>99394</v>
      </c>
      <c r="B124" s="211" t="s">
        <v>354</v>
      </c>
      <c r="C124" s="216" t="s">
        <v>344</v>
      </c>
    </row>
    <row r="125" spans="1:3" x14ac:dyDescent="0.35">
      <c r="A125" s="215">
        <v>99395</v>
      </c>
      <c r="B125" s="211" t="s">
        <v>355</v>
      </c>
      <c r="C125" s="216" t="s">
        <v>344</v>
      </c>
    </row>
    <row r="126" spans="1:3" x14ac:dyDescent="0.35">
      <c r="A126" s="215">
        <v>99396</v>
      </c>
      <c r="B126" s="211" t="s">
        <v>356</v>
      </c>
      <c r="C126" s="216" t="s">
        <v>344</v>
      </c>
    </row>
    <row r="127" spans="1:3" x14ac:dyDescent="0.35">
      <c r="A127" s="215">
        <v>99397</v>
      </c>
      <c r="B127" s="211" t="s">
        <v>357</v>
      </c>
      <c r="C127" s="216" t="s">
        <v>344</v>
      </c>
    </row>
    <row r="128" spans="1:3" x14ac:dyDescent="0.35">
      <c r="A128" s="215">
        <v>99241</v>
      </c>
      <c r="B128" s="211" t="s">
        <v>358</v>
      </c>
      <c r="C128" s="216" t="s">
        <v>359</v>
      </c>
    </row>
    <row r="129" spans="1:3" x14ac:dyDescent="0.35">
      <c r="A129" s="214">
        <v>99242</v>
      </c>
      <c r="B129" s="213" t="s">
        <v>360</v>
      </c>
      <c r="C129" s="216" t="s">
        <v>359</v>
      </c>
    </row>
    <row r="130" spans="1:3" x14ac:dyDescent="0.35">
      <c r="A130" s="214">
        <v>99243</v>
      </c>
      <c r="B130" s="213" t="s">
        <v>361</v>
      </c>
      <c r="C130" s="216" t="s">
        <v>359</v>
      </c>
    </row>
    <row r="131" spans="1:3" x14ac:dyDescent="0.35">
      <c r="A131" s="214">
        <v>99244</v>
      </c>
      <c r="B131" s="213" t="s">
        <v>362</v>
      </c>
      <c r="C131" s="216" t="s">
        <v>359</v>
      </c>
    </row>
    <row r="132" spans="1:3" x14ac:dyDescent="0.35">
      <c r="A132" s="214">
        <v>99245</v>
      </c>
      <c r="B132" s="213" t="s">
        <v>363</v>
      </c>
      <c r="C132" s="216" t="s">
        <v>359</v>
      </c>
    </row>
    <row r="133" spans="1:3" ht="43.5" x14ac:dyDescent="0.35">
      <c r="A133" s="214">
        <v>99417</v>
      </c>
      <c r="B133" s="213" t="s">
        <v>620</v>
      </c>
      <c r="C133" s="216" t="s">
        <v>335</v>
      </c>
    </row>
    <row r="134" spans="1:3" ht="72.5" x14ac:dyDescent="0.35">
      <c r="A134" s="214" t="s">
        <v>621</v>
      </c>
      <c r="B134" s="213" t="s">
        <v>622</v>
      </c>
      <c r="C134" s="216" t="s">
        <v>335</v>
      </c>
    </row>
    <row r="135" spans="1:3" x14ac:dyDescent="0.35">
      <c r="A135" s="214" t="s">
        <v>364</v>
      </c>
      <c r="B135" s="213" t="s">
        <v>365</v>
      </c>
      <c r="C135" s="216" t="s">
        <v>366</v>
      </c>
    </row>
    <row r="136" spans="1:3" x14ac:dyDescent="0.35">
      <c r="A136" s="214" t="s">
        <v>367</v>
      </c>
      <c r="B136" s="213" t="s">
        <v>368</v>
      </c>
      <c r="C136" s="216" t="s">
        <v>366</v>
      </c>
    </row>
    <row r="137" spans="1:3" x14ac:dyDescent="0.35">
      <c r="A137" s="214" t="s">
        <v>369</v>
      </c>
      <c r="B137" s="213" t="s">
        <v>370</v>
      </c>
      <c r="C137" s="216" t="s">
        <v>366</v>
      </c>
    </row>
    <row r="138" spans="1:3" x14ac:dyDescent="0.35">
      <c r="A138" s="214" t="s">
        <v>371</v>
      </c>
      <c r="B138" s="213" t="s">
        <v>372</v>
      </c>
      <c r="C138" s="216" t="s">
        <v>366</v>
      </c>
    </row>
    <row r="139" spans="1:3" x14ac:dyDescent="0.35">
      <c r="A139" s="214" t="s">
        <v>373</v>
      </c>
      <c r="B139" s="213" t="s">
        <v>374</v>
      </c>
      <c r="C139" s="216" t="s">
        <v>366</v>
      </c>
    </row>
    <row r="140" spans="1:3" x14ac:dyDescent="0.35">
      <c r="A140" s="214" t="s">
        <v>375</v>
      </c>
      <c r="B140" s="213" t="s">
        <v>376</v>
      </c>
      <c r="C140" s="216" t="s">
        <v>366</v>
      </c>
    </row>
    <row r="141" spans="1:3" x14ac:dyDescent="0.35">
      <c r="A141" s="214" t="s">
        <v>377</v>
      </c>
      <c r="B141" s="213" t="s">
        <v>378</v>
      </c>
      <c r="C141" s="216" t="s">
        <v>366</v>
      </c>
    </row>
    <row r="142" spans="1:3" x14ac:dyDescent="0.35">
      <c r="A142" s="214" t="s">
        <v>379</v>
      </c>
      <c r="B142" s="213" t="s">
        <v>380</v>
      </c>
      <c r="C142" s="216" t="s">
        <v>366</v>
      </c>
    </row>
    <row r="143" spans="1:3" x14ac:dyDescent="0.35">
      <c r="A143" s="214" t="s">
        <v>381</v>
      </c>
      <c r="B143" s="213" t="s">
        <v>382</v>
      </c>
      <c r="C143" s="216" t="s">
        <v>366</v>
      </c>
    </row>
    <row r="144" spans="1:3" x14ac:dyDescent="0.35">
      <c r="A144" s="214">
        <v>99401</v>
      </c>
      <c r="B144" s="213" t="s">
        <v>383</v>
      </c>
      <c r="C144" s="216" t="s">
        <v>384</v>
      </c>
    </row>
    <row r="145" spans="1:3" x14ac:dyDescent="0.35">
      <c r="A145" s="214">
        <v>99402</v>
      </c>
      <c r="B145" s="213" t="s">
        <v>385</v>
      </c>
      <c r="C145" s="216" t="s">
        <v>384</v>
      </c>
    </row>
    <row r="146" spans="1:3" x14ac:dyDescent="0.35">
      <c r="A146" s="214">
        <v>99403</v>
      </c>
      <c r="B146" s="213" t="s">
        <v>386</v>
      </c>
      <c r="C146" s="216" t="s">
        <v>384</v>
      </c>
    </row>
    <row r="147" spans="1:3" x14ac:dyDescent="0.35">
      <c r="A147" s="214">
        <v>99404</v>
      </c>
      <c r="B147" s="213" t="s">
        <v>387</v>
      </c>
      <c r="C147" s="216" t="s">
        <v>384</v>
      </c>
    </row>
    <row r="148" spans="1:3" x14ac:dyDescent="0.35">
      <c r="A148" s="214">
        <v>99406</v>
      </c>
      <c r="B148" s="213" t="s">
        <v>388</v>
      </c>
      <c r="C148" s="216" t="s">
        <v>384</v>
      </c>
    </row>
    <row r="149" spans="1:3" x14ac:dyDescent="0.35">
      <c r="A149" s="214">
        <v>99407</v>
      </c>
      <c r="B149" s="213" t="s">
        <v>389</v>
      </c>
      <c r="C149" s="216" t="s">
        <v>384</v>
      </c>
    </row>
    <row r="150" spans="1:3" x14ac:dyDescent="0.35">
      <c r="A150" s="214">
        <v>99408</v>
      </c>
      <c r="B150" s="213" t="s">
        <v>390</v>
      </c>
      <c r="C150" s="216" t="s">
        <v>384</v>
      </c>
    </row>
    <row r="151" spans="1:3" x14ac:dyDescent="0.35">
      <c r="A151" s="214">
        <v>99409</v>
      </c>
      <c r="B151" s="213" t="s">
        <v>391</v>
      </c>
      <c r="C151" s="216" t="s">
        <v>384</v>
      </c>
    </row>
    <row r="152" spans="1:3" x14ac:dyDescent="0.35">
      <c r="A152" s="214">
        <v>99411</v>
      </c>
      <c r="B152" s="213" t="s">
        <v>392</v>
      </c>
      <c r="C152" s="216" t="s">
        <v>384</v>
      </c>
    </row>
    <row r="153" spans="1:3" x14ac:dyDescent="0.35">
      <c r="A153" s="214">
        <v>99412</v>
      </c>
      <c r="B153" s="213" t="s">
        <v>393</v>
      </c>
      <c r="C153" s="216" t="s">
        <v>384</v>
      </c>
    </row>
    <row r="154" spans="1:3" x14ac:dyDescent="0.35">
      <c r="A154" s="214">
        <v>99420</v>
      </c>
      <c r="B154" s="213" t="s">
        <v>394</v>
      </c>
      <c r="C154" s="216" t="s">
        <v>384</v>
      </c>
    </row>
    <row r="155" spans="1:3" x14ac:dyDescent="0.35">
      <c r="A155" s="214">
        <v>99429</v>
      </c>
      <c r="B155" s="213" t="s">
        <v>395</v>
      </c>
      <c r="C155" s="216" t="s">
        <v>384</v>
      </c>
    </row>
    <row r="156" spans="1:3" x14ac:dyDescent="0.35">
      <c r="A156" s="214">
        <v>99341</v>
      </c>
      <c r="B156" s="213" t="s">
        <v>396</v>
      </c>
      <c r="C156" s="216" t="s">
        <v>397</v>
      </c>
    </row>
    <row r="157" spans="1:3" x14ac:dyDescent="0.35">
      <c r="A157" s="214">
        <v>99342</v>
      </c>
      <c r="B157" s="213" t="s">
        <v>398</v>
      </c>
      <c r="C157" s="216" t="s">
        <v>397</v>
      </c>
    </row>
    <row r="158" spans="1:3" x14ac:dyDescent="0.35">
      <c r="A158" s="214">
        <v>99343</v>
      </c>
      <c r="B158" s="213" t="s">
        <v>399</v>
      </c>
      <c r="C158" s="216" t="s">
        <v>397</v>
      </c>
    </row>
    <row r="159" spans="1:3" x14ac:dyDescent="0.35">
      <c r="A159" s="214">
        <v>99344</v>
      </c>
      <c r="B159" s="213" t="s">
        <v>400</v>
      </c>
      <c r="C159" s="216" t="s">
        <v>397</v>
      </c>
    </row>
    <row r="160" spans="1:3" x14ac:dyDescent="0.35">
      <c r="A160" s="214">
        <v>99345</v>
      </c>
      <c r="B160" s="213" t="s">
        <v>401</v>
      </c>
      <c r="C160" s="216" t="s">
        <v>397</v>
      </c>
    </row>
    <row r="161" spans="1:3" x14ac:dyDescent="0.35">
      <c r="A161" s="214">
        <v>99347</v>
      </c>
      <c r="B161" s="213" t="s">
        <v>402</v>
      </c>
      <c r="C161" s="216" t="s">
        <v>397</v>
      </c>
    </row>
    <row r="162" spans="1:3" x14ac:dyDescent="0.35">
      <c r="A162" s="214">
        <v>99348</v>
      </c>
      <c r="B162" s="213" t="s">
        <v>403</v>
      </c>
      <c r="C162" s="216" t="s">
        <v>397</v>
      </c>
    </row>
    <row r="163" spans="1:3" x14ac:dyDescent="0.35">
      <c r="A163" s="214">
        <v>99349</v>
      </c>
      <c r="B163" s="213" t="s">
        <v>404</v>
      </c>
      <c r="C163" s="216" t="s">
        <v>397</v>
      </c>
    </row>
    <row r="164" spans="1:3" x14ac:dyDescent="0.35">
      <c r="A164" s="214">
        <v>99350</v>
      </c>
      <c r="B164" s="213" t="s">
        <v>405</v>
      </c>
      <c r="C164" s="216" t="s">
        <v>397</v>
      </c>
    </row>
    <row r="165" spans="1:3" x14ac:dyDescent="0.35">
      <c r="A165" s="214">
        <v>99374</v>
      </c>
      <c r="B165" s="213" t="s">
        <v>406</v>
      </c>
      <c r="C165" s="216" t="s">
        <v>407</v>
      </c>
    </row>
    <row r="166" spans="1:3" x14ac:dyDescent="0.35">
      <c r="A166" s="214">
        <v>99375</v>
      </c>
      <c r="B166" s="213" t="s">
        <v>408</v>
      </c>
      <c r="C166" s="216" t="s">
        <v>407</v>
      </c>
    </row>
    <row r="167" spans="1:3" x14ac:dyDescent="0.35">
      <c r="A167" s="214">
        <v>99376</v>
      </c>
      <c r="B167" s="213" t="s">
        <v>409</v>
      </c>
      <c r="C167" s="216" t="s">
        <v>407</v>
      </c>
    </row>
    <row r="168" spans="1:3" x14ac:dyDescent="0.35">
      <c r="A168" s="214">
        <v>99377</v>
      </c>
      <c r="B168" s="213" t="s">
        <v>410</v>
      </c>
      <c r="C168" s="216" t="s">
        <v>407</v>
      </c>
    </row>
    <row r="169" spans="1:3" x14ac:dyDescent="0.35">
      <c r="A169" s="214">
        <v>99378</v>
      </c>
      <c r="B169" s="213" t="s">
        <v>411</v>
      </c>
      <c r="C169" s="216" t="s">
        <v>407</v>
      </c>
    </row>
    <row r="170" spans="1:3" x14ac:dyDescent="0.35">
      <c r="A170" s="214" t="s">
        <v>412</v>
      </c>
      <c r="B170" s="213" t="s">
        <v>413</v>
      </c>
      <c r="C170" s="216" t="s">
        <v>407</v>
      </c>
    </row>
    <row r="171" spans="1:3" x14ac:dyDescent="0.35">
      <c r="A171" s="214" t="s">
        <v>414</v>
      </c>
      <c r="B171" s="213" t="s">
        <v>415</v>
      </c>
      <c r="C171" s="216" t="s">
        <v>407</v>
      </c>
    </row>
    <row r="172" spans="1:3" x14ac:dyDescent="0.35">
      <c r="A172" s="214" t="s">
        <v>416</v>
      </c>
      <c r="B172" s="213" t="s">
        <v>417</v>
      </c>
      <c r="C172" s="216" t="s">
        <v>407</v>
      </c>
    </row>
    <row r="173" spans="1:3" x14ac:dyDescent="0.35">
      <c r="A173" s="214" t="s">
        <v>418</v>
      </c>
      <c r="B173" s="213" t="s">
        <v>419</v>
      </c>
      <c r="C173" s="216" t="s">
        <v>407</v>
      </c>
    </row>
    <row r="174" spans="1:3" ht="29" x14ac:dyDescent="0.35">
      <c r="A174" s="214">
        <v>99339</v>
      </c>
      <c r="B174" s="213" t="s">
        <v>420</v>
      </c>
      <c r="C174" s="216" t="s">
        <v>421</v>
      </c>
    </row>
    <row r="175" spans="1:3" ht="29" x14ac:dyDescent="0.35">
      <c r="A175" s="214">
        <v>99340</v>
      </c>
      <c r="B175" s="213" t="s">
        <v>422</v>
      </c>
      <c r="C175" s="216" t="s">
        <v>421</v>
      </c>
    </row>
    <row r="176" spans="1:3" ht="29" x14ac:dyDescent="0.35">
      <c r="A176" s="214">
        <v>99495</v>
      </c>
      <c r="B176" s="213" t="s">
        <v>423</v>
      </c>
      <c r="C176" s="216" t="s">
        <v>424</v>
      </c>
    </row>
    <row r="177" spans="1:3" ht="29" x14ac:dyDescent="0.35">
      <c r="A177" s="214">
        <v>99496</v>
      </c>
      <c r="B177" s="213" t="s">
        <v>425</v>
      </c>
      <c r="C177" s="216" t="s">
        <v>424</v>
      </c>
    </row>
    <row r="178" spans="1:3" ht="29" x14ac:dyDescent="0.35">
      <c r="A178" s="214">
        <v>99497</v>
      </c>
      <c r="B178" s="213" t="s">
        <v>426</v>
      </c>
      <c r="C178" s="216" t="s">
        <v>427</v>
      </c>
    </row>
    <row r="179" spans="1:3" ht="29" x14ac:dyDescent="0.35">
      <c r="A179" s="214">
        <v>99498</v>
      </c>
      <c r="B179" s="213" t="s">
        <v>428</v>
      </c>
      <c r="C179" s="216" t="s">
        <v>427</v>
      </c>
    </row>
    <row r="180" spans="1:3" x14ac:dyDescent="0.35">
      <c r="A180" s="214">
        <v>99366</v>
      </c>
      <c r="B180" s="213" t="s">
        <v>429</v>
      </c>
      <c r="C180" s="216" t="s">
        <v>430</v>
      </c>
    </row>
    <row r="181" spans="1:3" x14ac:dyDescent="0.35">
      <c r="A181" s="214">
        <v>99367</v>
      </c>
      <c r="B181" s="213" t="s">
        <v>431</v>
      </c>
      <c r="C181" s="216" t="s">
        <v>430</v>
      </c>
    </row>
    <row r="182" spans="1:3" x14ac:dyDescent="0.35">
      <c r="A182" s="214">
        <v>99368</v>
      </c>
      <c r="B182" s="213" t="s">
        <v>432</v>
      </c>
      <c r="C182" s="216" t="s">
        <v>430</v>
      </c>
    </row>
    <row r="183" spans="1:3" ht="43.5" x14ac:dyDescent="0.35">
      <c r="A183" s="214">
        <v>99439</v>
      </c>
      <c r="B183" s="213" t="s">
        <v>623</v>
      </c>
      <c r="C183" s="216" t="s">
        <v>434</v>
      </c>
    </row>
    <row r="184" spans="1:3" x14ac:dyDescent="0.35">
      <c r="A184" s="214">
        <v>99487</v>
      </c>
      <c r="B184" s="213" t="s">
        <v>433</v>
      </c>
      <c r="C184" s="216" t="s">
        <v>434</v>
      </c>
    </row>
    <row r="185" spans="1:3" x14ac:dyDescent="0.35">
      <c r="A185" s="214">
        <v>99489</v>
      </c>
      <c r="B185" s="213" t="s">
        <v>435</v>
      </c>
      <c r="C185" s="216" t="s">
        <v>434</v>
      </c>
    </row>
    <row r="186" spans="1:3" x14ac:dyDescent="0.35">
      <c r="A186" s="214">
        <v>99490</v>
      </c>
      <c r="B186" s="213" t="s">
        <v>436</v>
      </c>
      <c r="C186" s="216" t="s">
        <v>434</v>
      </c>
    </row>
    <row r="187" spans="1:3" x14ac:dyDescent="0.35">
      <c r="A187" s="214">
        <v>99491</v>
      </c>
      <c r="B187" s="213" t="s">
        <v>783</v>
      </c>
      <c r="C187" s="216" t="s">
        <v>434</v>
      </c>
    </row>
    <row r="188" spans="1:3" x14ac:dyDescent="0.35">
      <c r="A188" s="214" t="s">
        <v>437</v>
      </c>
      <c r="B188" s="213" t="s">
        <v>438</v>
      </c>
      <c r="C188" s="216" t="s">
        <v>434</v>
      </c>
    </row>
    <row r="189" spans="1:3" x14ac:dyDescent="0.35">
      <c r="A189" s="214">
        <v>99358</v>
      </c>
      <c r="B189" s="213" t="s">
        <v>439</v>
      </c>
      <c r="C189" s="216" t="s">
        <v>440</v>
      </c>
    </row>
    <row r="190" spans="1:3" x14ac:dyDescent="0.35">
      <c r="A190" s="214">
        <v>99359</v>
      </c>
      <c r="B190" s="213" t="s">
        <v>441</v>
      </c>
      <c r="C190" s="216" t="s">
        <v>440</v>
      </c>
    </row>
    <row r="191" spans="1:3" x14ac:dyDescent="0.35">
      <c r="A191" s="214">
        <v>99360</v>
      </c>
      <c r="B191" s="213" t="s">
        <v>442</v>
      </c>
      <c r="C191" s="216" t="s">
        <v>440</v>
      </c>
    </row>
    <row r="192" spans="1:3" x14ac:dyDescent="0.35">
      <c r="A192" s="214" t="s">
        <v>443</v>
      </c>
      <c r="B192" s="213" t="s">
        <v>444</v>
      </c>
      <c r="C192" s="216" t="s">
        <v>440</v>
      </c>
    </row>
    <row r="193" spans="1:3" x14ac:dyDescent="0.35">
      <c r="A193" s="214" t="s">
        <v>445</v>
      </c>
      <c r="B193" s="213" t="s">
        <v>446</v>
      </c>
      <c r="C193" s="216" t="s">
        <v>440</v>
      </c>
    </row>
    <row r="194" spans="1:3" ht="29" x14ac:dyDescent="0.35">
      <c r="A194" s="214">
        <v>99421</v>
      </c>
      <c r="B194" s="213" t="s">
        <v>624</v>
      </c>
      <c r="C194" s="216" t="s">
        <v>448</v>
      </c>
    </row>
    <row r="195" spans="1:3" ht="29" x14ac:dyDescent="0.35">
      <c r="A195" s="214">
        <v>99422</v>
      </c>
      <c r="B195" s="213" t="s">
        <v>625</v>
      </c>
      <c r="C195" s="216" t="s">
        <v>448</v>
      </c>
    </row>
    <row r="196" spans="1:3" ht="43.5" x14ac:dyDescent="0.35">
      <c r="A196" s="214">
        <v>99423</v>
      </c>
      <c r="B196" s="213" t="s">
        <v>626</v>
      </c>
      <c r="C196" s="216" t="s">
        <v>448</v>
      </c>
    </row>
    <row r="197" spans="1:3" ht="43.5" x14ac:dyDescent="0.35">
      <c r="A197" s="214">
        <v>99424</v>
      </c>
      <c r="B197" s="15" t="s">
        <v>777</v>
      </c>
      <c r="C197" s="216" t="s">
        <v>434</v>
      </c>
    </row>
    <row r="198" spans="1:3" ht="43.5" x14ac:dyDescent="0.35">
      <c r="A198" s="214">
        <v>99425</v>
      </c>
      <c r="B198" s="15" t="s">
        <v>778</v>
      </c>
      <c r="C198" s="216" t="s">
        <v>434</v>
      </c>
    </row>
    <row r="199" spans="1:3" ht="58" x14ac:dyDescent="0.35">
      <c r="A199" s="214">
        <v>99426</v>
      </c>
      <c r="B199" s="15" t="s">
        <v>779</v>
      </c>
      <c r="C199" s="216" t="s">
        <v>434</v>
      </c>
    </row>
    <row r="200" spans="1:3" ht="58" x14ac:dyDescent="0.35">
      <c r="A200" s="214">
        <v>99427</v>
      </c>
      <c r="B200" s="15" t="s">
        <v>780</v>
      </c>
      <c r="C200" s="216" t="s">
        <v>434</v>
      </c>
    </row>
    <row r="201" spans="1:3" ht="101.5" x14ac:dyDescent="0.35">
      <c r="A201" s="214">
        <v>99437</v>
      </c>
      <c r="B201" s="15" t="s">
        <v>781</v>
      </c>
      <c r="C201" s="216" t="s">
        <v>434</v>
      </c>
    </row>
    <row r="202" spans="1:3" x14ac:dyDescent="0.35">
      <c r="A202" s="214">
        <v>99441</v>
      </c>
      <c r="B202" s="213" t="s">
        <v>447</v>
      </c>
      <c r="C202" s="216" t="s">
        <v>448</v>
      </c>
    </row>
    <row r="203" spans="1:3" x14ac:dyDescent="0.35">
      <c r="A203" s="214">
        <v>99442</v>
      </c>
      <c r="B203" s="213" t="s">
        <v>449</v>
      </c>
      <c r="C203" s="216" t="s">
        <v>448</v>
      </c>
    </row>
    <row r="204" spans="1:3" x14ac:dyDescent="0.35">
      <c r="A204" s="214">
        <v>99443</v>
      </c>
      <c r="B204" s="213" t="s">
        <v>450</v>
      </c>
      <c r="C204" s="216" t="s">
        <v>448</v>
      </c>
    </row>
    <row r="205" spans="1:3" x14ac:dyDescent="0.35">
      <c r="A205" s="214">
        <v>99446</v>
      </c>
      <c r="B205" s="213" t="s">
        <v>451</v>
      </c>
      <c r="C205" s="216" t="s">
        <v>448</v>
      </c>
    </row>
    <row r="206" spans="1:3" x14ac:dyDescent="0.35">
      <c r="A206" s="214">
        <v>99447</v>
      </c>
      <c r="B206" s="213" t="s">
        <v>452</v>
      </c>
      <c r="C206" s="216" t="s">
        <v>448</v>
      </c>
    </row>
    <row r="207" spans="1:3" x14ac:dyDescent="0.35">
      <c r="A207" s="214">
        <v>99448</v>
      </c>
      <c r="B207" s="213" t="s">
        <v>453</v>
      </c>
      <c r="C207" s="216" t="s">
        <v>448</v>
      </c>
    </row>
    <row r="208" spans="1:3" x14ac:dyDescent="0.35">
      <c r="A208" s="214">
        <v>99449</v>
      </c>
      <c r="B208" s="213" t="s">
        <v>454</v>
      </c>
      <c r="C208" s="216" t="s">
        <v>448</v>
      </c>
    </row>
    <row r="209" spans="1:3" x14ac:dyDescent="0.35">
      <c r="A209" s="214">
        <v>99451</v>
      </c>
      <c r="B209" s="213" t="s">
        <v>455</v>
      </c>
      <c r="C209" s="216" t="s">
        <v>448</v>
      </c>
    </row>
    <row r="210" spans="1:3" x14ac:dyDescent="0.35">
      <c r="A210" s="214">
        <v>99452</v>
      </c>
      <c r="B210" s="213" t="s">
        <v>456</v>
      </c>
      <c r="C210" s="216" t="s">
        <v>448</v>
      </c>
    </row>
    <row r="211" spans="1:3" x14ac:dyDescent="0.35">
      <c r="A211" s="214">
        <v>98966</v>
      </c>
      <c r="B211" s="213" t="s">
        <v>457</v>
      </c>
      <c r="C211" s="216" t="s">
        <v>448</v>
      </c>
    </row>
    <row r="212" spans="1:3" x14ac:dyDescent="0.35">
      <c r="A212" s="214">
        <v>98967</v>
      </c>
      <c r="B212" s="213" t="s">
        <v>458</v>
      </c>
      <c r="C212" s="216" t="s">
        <v>448</v>
      </c>
    </row>
    <row r="213" spans="1:3" x14ac:dyDescent="0.35">
      <c r="A213" s="214">
        <v>98968</v>
      </c>
      <c r="B213" s="213" t="s">
        <v>459</v>
      </c>
      <c r="C213" s="216" t="s">
        <v>448</v>
      </c>
    </row>
    <row r="214" spans="1:3" ht="43.5" x14ac:dyDescent="0.35">
      <c r="A214" s="214">
        <v>98970</v>
      </c>
      <c r="B214" s="213" t="s">
        <v>627</v>
      </c>
      <c r="C214" s="216" t="s">
        <v>628</v>
      </c>
    </row>
    <row r="215" spans="1:3" ht="43.5" x14ac:dyDescent="0.35">
      <c r="A215" s="214">
        <v>98971</v>
      </c>
      <c r="B215" s="213" t="s">
        <v>629</v>
      </c>
      <c r="C215" s="216" t="s">
        <v>448</v>
      </c>
    </row>
    <row r="216" spans="1:3" ht="43.5" x14ac:dyDescent="0.35">
      <c r="A216" s="214">
        <v>98972</v>
      </c>
      <c r="B216" s="213" t="s">
        <v>630</v>
      </c>
      <c r="C216" s="216" t="s">
        <v>448</v>
      </c>
    </row>
    <row r="217" spans="1:3" ht="29" x14ac:dyDescent="0.35">
      <c r="A217" s="214">
        <v>90460</v>
      </c>
      <c r="B217" s="213" t="s">
        <v>460</v>
      </c>
      <c r="C217" s="216" t="s">
        <v>461</v>
      </c>
    </row>
    <row r="218" spans="1:3" ht="29" x14ac:dyDescent="0.35">
      <c r="A218" s="214">
        <v>90461</v>
      </c>
      <c r="B218" s="213" t="s">
        <v>462</v>
      </c>
      <c r="C218" s="216" t="s">
        <v>461</v>
      </c>
    </row>
    <row r="219" spans="1:3" ht="29" x14ac:dyDescent="0.35">
      <c r="A219" s="214">
        <v>90471</v>
      </c>
      <c r="B219" s="213" t="s">
        <v>463</v>
      </c>
      <c r="C219" s="216" t="s">
        <v>461</v>
      </c>
    </row>
    <row r="220" spans="1:3" ht="29" x14ac:dyDescent="0.35">
      <c r="A220" s="214">
        <v>90472</v>
      </c>
      <c r="B220" s="213" t="s">
        <v>464</v>
      </c>
      <c r="C220" s="216" t="s">
        <v>461</v>
      </c>
    </row>
    <row r="221" spans="1:3" ht="29" x14ac:dyDescent="0.35">
      <c r="A221" s="214">
        <v>90473</v>
      </c>
      <c r="B221" s="213" t="s">
        <v>465</v>
      </c>
      <c r="C221" s="216" t="s">
        <v>461</v>
      </c>
    </row>
    <row r="222" spans="1:3" ht="29" x14ac:dyDescent="0.35">
      <c r="A222" s="214">
        <v>90474</v>
      </c>
      <c r="B222" s="213" t="s">
        <v>466</v>
      </c>
      <c r="C222" s="216" t="s">
        <v>461</v>
      </c>
    </row>
    <row r="223" spans="1:3" ht="29" x14ac:dyDescent="0.35">
      <c r="A223" s="214" t="s">
        <v>467</v>
      </c>
      <c r="B223" s="213" t="s">
        <v>468</v>
      </c>
      <c r="C223" s="216" t="s">
        <v>461</v>
      </c>
    </row>
    <row r="224" spans="1:3" ht="29" x14ac:dyDescent="0.35">
      <c r="A224" s="214" t="s">
        <v>469</v>
      </c>
      <c r="B224" s="213" t="s">
        <v>470</v>
      </c>
      <c r="C224" s="216" t="s">
        <v>461</v>
      </c>
    </row>
    <row r="225" spans="1:3" ht="29" x14ac:dyDescent="0.35">
      <c r="A225" s="214" t="s">
        <v>471</v>
      </c>
      <c r="B225" s="213" t="s">
        <v>472</v>
      </c>
      <c r="C225" s="216" t="s">
        <v>461</v>
      </c>
    </row>
    <row r="226" spans="1:3" ht="29" x14ac:dyDescent="0.35">
      <c r="A226" s="214">
        <v>96160</v>
      </c>
      <c r="B226" s="213" t="s">
        <v>473</v>
      </c>
      <c r="C226" s="216" t="s">
        <v>474</v>
      </c>
    </row>
    <row r="227" spans="1:3" ht="29" x14ac:dyDescent="0.35">
      <c r="A227" s="214">
        <v>96161</v>
      </c>
      <c r="B227" s="213" t="s">
        <v>475</v>
      </c>
      <c r="C227" s="216" t="s">
        <v>474</v>
      </c>
    </row>
    <row r="228" spans="1:3" ht="29" x14ac:dyDescent="0.35">
      <c r="A228" s="214">
        <v>99078</v>
      </c>
      <c r="B228" s="213" t="s">
        <v>476</v>
      </c>
      <c r="C228" s="216" t="s">
        <v>474</v>
      </c>
    </row>
    <row r="229" spans="1:3" ht="29" x14ac:dyDescent="0.35">
      <c r="A229" s="214">
        <v>99483</v>
      </c>
      <c r="B229" s="213" t="s">
        <v>477</v>
      </c>
      <c r="C229" s="216" t="s">
        <v>474</v>
      </c>
    </row>
    <row r="230" spans="1:3" ht="29" x14ac:dyDescent="0.35">
      <c r="A230" s="214" t="s">
        <v>478</v>
      </c>
      <c r="B230" s="213" t="s">
        <v>479</v>
      </c>
      <c r="C230" s="216" t="s">
        <v>474</v>
      </c>
    </row>
    <row r="231" spans="1:3" ht="29" x14ac:dyDescent="0.35">
      <c r="A231" s="214" t="s">
        <v>480</v>
      </c>
      <c r="B231" s="213" t="s">
        <v>481</v>
      </c>
      <c r="C231" s="216" t="s">
        <v>474</v>
      </c>
    </row>
    <row r="232" spans="1:3" ht="29" x14ac:dyDescent="0.35">
      <c r="A232" s="214" t="s">
        <v>482</v>
      </c>
      <c r="B232" s="213" t="s">
        <v>483</v>
      </c>
      <c r="C232" s="216" t="s">
        <v>474</v>
      </c>
    </row>
    <row r="233" spans="1:3" ht="29" x14ac:dyDescent="0.35">
      <c r="A233" s="214" t="s">
        <v>484</v>
      </c>
      <c r="B233" s="213" t="s">
        <v>485</v>
      </c>
      <c r="C233" s="216" t="s">
        <v>474</v>
      </c>
    </row>
    <row r="234" spans="1:3" ht="29" x14ac:dyDescent="0.35">
      <c r="A234" s="214" t="s">
        <v>486</v>
      </c>
      <c r="B234" s="213" t="s">
        <v>487</v>
      </c>
      <c r="C234" s="216" t="s">
        <v>474</v>
      </c>
    </row>
    <row r="235" spans="1:3" ht="29" x14ac:dyDescent="0.35">
      <c r="A235" s="214" t="s">
        <v>488</v>
      </c>
      <c r="B235" s="213" t="s">
        <v>489</v>
      </c>
      <c r="C235" s="216" t="s">
        <v>474</v>
      </c>
    </row>
    <row r="236" spans="1:3" x14ac:dyDescent="0.35">
      <c r="A236" s="214">
        <v>99173</v>
      </c>
      <c r="B236" s="213" t="s">
        <v>490</v>
      </c>
      <c r="C236" s="216" t="s">
        <v>384</v>
      </c>
    </row>
    <row r="237" spans="1:3" x14ac:dyDescent="0.35">
      <c r="A237" s="214" t="s">
        <v>491</v>
      </c>
      <c r="B237" s="213" t="s">
        <v>492</v>
      </c>
      <c r="C237" s="216" t="s">
        <v>384</v>
      </c>
    </row>
    <row r="238" spans="1:3" x14ac:dyDescent="0.35">
      <c r="A238" s="214" t="s">
        <v>493</v>
      </c>
      <c r="B238" s="213" t="s">
        <v>494</v>
      </c>
      <c r="C238" s="216" t="s">
        <v>384</v>
      </c>
    </row>
    <row r="239" spans="1:3" x14ac:dyDescent="0.35">
      <c r="A239" s="214" t="s">
        <v>495</v>
      </c>
      <c r="B239" s="213" t="s">
        <v>496</v>
      </c>
      <c r="C239" s="216" t="s">
        <v>384</v>
      </c>
    </row>
  </sheetData>
  <sheetProtection algorithmName="SHA-512" hashValue="TWLX75a7Vlx3sx/e7nn6qv/dniMTWjfkwt/boFm0qB+uVQguPxYxyuvBcvlIyslxXiR7O3ZWrLVk8kyjb7R4/w==" saltValue="l51fLRSmYK1ec5KuzI74CQ==" spinCount="100000" sheet="1" objects="1" scenarios="1"/>
  <mergeCells count="1">
    <mergeCell ref="A1:B2"/>
  </mergeCells>
  <pageMargins left="0.7" right="0.7" top="0.75" bottom="0.75" header="0.3" footer="0.3"/>
  <pageSetup orientation="portrait" r:id="rId1"/>
  <tableParts count="11">
    <tablePart r:id="rId2"/>
    <tablePart r:id="rId3"/>
    <tablePart r:id="rId4"/>
    <tablePart r:id="rId5"/>
    <tablePart r:id="rId6"/>
    <tablePart r:id="rId7"/>
    <tablePart r:id="rId8"/>
    <tablePart r:id="rId9"/>
    <tablePart r:id="rId10"/>
    <tablePart r:id="rId11"/>
    <tablePart r:id="rId1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03D03-231A-4E1D-BD76-642205510FCE}">
  <sheetPr codeName="Sheet3">
    <tabColor theme="0" tint="-0.249977111117893"/>
  </sheetPr>
  <dimension ref="A1:B68"/>
  <sheetViews>
    <sheetView workbookViewId="0"/>
  </sheetViews>
  <sheetFormatPr defaultColWidth="8.7265625" defaultRowHeight="14.5" x14ac:dyDescent="0.35"/>
  <cols>
    <col min="1" max="1" width="44.26953125" style="366" customWidth="1"/>
    <col min="2" max="2" width="101" style="363" customWidth="1"/>
    <col min="3" max="16384" width="8.7265625" style="360"/>
  </cols>
  <sheetData>
    <row r="1" spans="1:2" x14ac:dyDescent="0.35">
      <c r="A1" s="362" t="s">
        <v>36</v>
      </c>
    </row>
    <row r="2" spans="1:2" x14ac:dyDescent="0.35">
      <c r="A2" s="364" t="s">
        <v>797</v>
      </c>
    </row>
    <row r="3" spans="1:2" x14ac:dyDescent="0.35">
      <c r="A3" s="365"/>
    </row>
    <row r="4" spans="1:2" x14ac:dyDescent="0.35">
      <c r="A4" s="362" t="s">
        <v>798</v>
      </c>
    </row>
    <row r="5" spans="1:2" x14ac:dyDescent="0.35">
      <c r="A5" s="208" t="s">
        <v>89</v>
      </c>
      <c r="B5" s="209" t="s">
        <v>90</v>
      </c>
    </row>
    <row r="6" spans="1:2" ht="58" x14ac:dyDescent="0.35">
      <c r="A6" s="157" t="s">
        <v>258</v>
      </c>
      <c r="B6" s="158" t="s">
        <v>599</v>
      </c>
    </row>
    <row r="7" spans="1:2" ht="406.5" customHeight="1" x14ac:dyDescent="0.35">
      <c r="A7" s="157" t="s">
        <v>3</v>
      </c>
      <c r="B7" s="159" t="s">
        <v>600</v>
      </c>
    </row>
    <row r="8" spans="1:2" ht="43.5" x14ac:dyDescent="0.35">
      <c r="A8" s="157" t="s">
        <v>91</v>
      </c>
      <c r="B8" s="159" t="s">
        <v>632</v>
      </c>
    </row>
    <row r="9" spans="1:2" ht="188.5" x14ac:dyDescent="0.35">
      <c r="A9" s="157" t="s">
        <v>92</v>
      </c>
      <c r="B9" s="159" t="s">
        <v>601</v>
      </c>
    </row>
    <row r="10" spans="1:2" ht="87" x14ac:dyDescent="0.35">
      <c r="A10" s="157" t="s">
        <v>12</v>
      </c>
      <c r="B10" s="159" t="s">
        <v>259</v>
      </c>
    </row>
    <row r="11" spans="1:2" ht="72" customHeight="1" x14ac:dyDescent="0.35">
      <c r="A11" s="157" t="s">
        <v>13</v>
      </c>
      <c r="B11" s="159" t="s">
        <v>93</v>
      </c>
    </row>
    <row r="12" spans="1:2" ht="288" customHeight="1" x14ac:dyDescent="0.35">
      <c r="A12" s="157" t="s">
        <v>14</v>
      </c>
      <c r="B12" s="159" t="s">
        <v>602</v>
      </c>
    </row>
    <row r="13" spans="1:2" ht="43.5" x14ac:dyDescent="0.35">
      <c r="A13" s="157" t="s">
        <v>184</v>
      </c>
      <c r="B13" s="159" t="s">
        <v>260</v>
      </c>
    </row>
    <row r="14" spans="1:2" ht="87" customHeight="1" x14ac:dyDescent="0.35">
      <c r="A14" s="157" t="s">
        <v>16</v>
      </c>
      <c r="B14" s="159" t="s">
        <v>261</v>
      </c>
    </row>
    <row r="15" spans="1:2" ht="116.5" customHeight="1" x14ac:dyDescent="0.35">
      <c r="A15" s="157" t="s">
        <v>185</v>
      </c>
      <c r="B15" s="159" t="s">
        <v>603</v>
      </c>
    </row>
    <row r="16" spans="1:2" ht="133" customHeight="1" x14ac:dyDescent="0.35">
      <c r="A16" s="159" t="s">
        <v>94</v>
      </c>
      <c r="B16" s="159" t="s">
        <v>154</v>
      </c>
    </row>
    <row r="17" spans="1:2" ht="145" x14ac:dyDescent="0.35">
      <c r="A17" s="159" t="s">
        <v>19</v>
      </c>
      <c r="B17" s="159" t="s">
        <v>262</v>
      </c>
    </row>
    <row r="18" spans="1:2" ht="142.5" customHeight="1" x14ac:dyDescent="0.35">
      <c r="A18" s="159" t="s">
        <v>109</v>
      </c>
      <c r="B18" s="159" t="s">
        <v>263</v>
      </c>
    </row>
    <row r="19" spans="1:2" ht="116" x14ac:dyDescent="0.35">
      <c r="A19" s="159" t="s">
        <v>110</v>
      </c>
      <c r="B19" s="159" t="s">
        <v>264</v>
      </c>
    </row>
    <row r="20" spans="1:2" ht="72.5" x14ac:dyDescent="0.35">
      <c r="A20" s="159" t="s">
        <v>111</v>
      </c>
      <c r="B20" s="159" t="s">
        <v>265</v>
      </c>
    </row>
    <row r="21" spans="1:2" ht="29" x14ac:dyDescent="0.35">
      <c r="A21" s="159" t="s">
        <v>112</v>
      </c>
      <c r="B21" s="159" t="s">
        <v>266</v>
      </c>
    </row>
    <row r="22" spans="1:2" ht="73" customHeight="1" x14ac:dyDescent="0.35">
      <c r="A22" s="159" t="s">
        <v>186</v>
      </c>
      <c r="B22" s="159" t="s">
        <v>604</v>
      </c>
    </row>
    <row r="23" spans="1:2" ht="100.5" customHeight="1" x14ac:dyDescent="0.35">
      <c r="A23" s="159" t="s">
        <v>85</v>
      </c>
      <c r="B23" s="159" t="s">
        <v>605</v>
      </c>
    </row>
    <row r="24" spans="1:2" ht="72.5" x14ac:dyDescent="0.35">
      <c r="A24" s="159" t="s">
        <v>633</v>
      </c>
      <c r="B24" s="159" t="s">
        <v>611</v>
      </c>
    </row>
    <row r="25" spans="1:2" x14ac:dyDescent="0.35">
      <c r="A25" s="369"/>
      <c r="B25" s="369"/>
    </row>
    <row r="26" spans="1:2" x14ac:dyDescent="0.35">
      <c r="A26" s="368"/>
      <c r="B26" s="369"/>
    </row>
    <row r="27" spans="1:2" x14ac:dyDescent="0.35">
      <c r="A27" s="370" t="s">
        <v>770</v>
      </c>
      <c r="B27" s="369"/>
    </row>
    <row r="28" spans="1:2" x14ac:dyDescent="0.35">
      <c r="A28" s="208" t="s">
        <v>89</v>
      </c>
      <c r="B28" s="209" t="s">
        <v>90</v>
      </c>
    </row>
    <row r="29" spans="1:2" ht="71.5" customHeight="1" x14ac:dyDescent="0.35">
      <c r="A29" s="159" t="s">
        <v>228</v>
      </c>
      <c r="B29" s="159" t="s">
        <v>267</v>
      </c>
    </row>
    <row r="30" spans="1:2" ht="86.15" customHeight="1" x14ac:dyDescent="0.35">
      <c r="A30" s="159" t="s">
        <v>268</v>
      </c>
      <c r="B30" s="159" t="s">
        <v>631</v>
      </c>
    </row>
    <row r="31" spans="1:2" ht="48" customHeight="1" x14ac:dyDescent="0.35">
      <c r="A31" s="159" t="s">
        <v>252</v>
      </c>
      <c r="B31" s="159" t="s">
        <v>269</v>
      </c>
    </row>
    <row r="32" spans="1:2" ht="242.5" customHeight="1" x14ac:dyDescent="0.35">
      <c r="A32" s="159" t="s">
        <v>194</v>
      </c>
      <c r="B32" s="159" t="s">
        <v>634</v>
      </c>
    </row>
    <row r="33" spans="1:2" ht="58" x14ac:dyDescent="0.35">
      <c r="A33" s="159" t="s">
        <v>195</v>
      </c>
      <c r="B33" s="159" t="s">
        <v>272</v>
      </c>
    </row>
    <row r="34" spans="1:2" x14ac:dyDescent="0.35">
      <c r="A34" s="210"/>
      <c r="B34" s="32"/>
    </row>
    <row r="35" spans="1:2" x14ac:dyDescent="0.35">
      <c r="A35" s="25" t="s">
        <v>771</v>
      </c>
      <c r="B35" s="32"/>
    </row>
    <row r="36" spans="1:2" x14ac:dyDescent="0.35">
      <c r="A36" s="208" t="s">
        <v>89</v>
      </c>
      <c r="B36" s="209" t="s">
        <v>90</v>
      </c>
    </row>
    <row r="37" spans="1:2" ht="43.5" x14ac:dyDescent="0.35">
      <c r="A37" s="157" t="s">
        <v>3</v>
      </c>
      <c r="B37" s="159" t="s">
        <v>273</v>
      </c>
    </row>
    <row r="38" spans="1:2" ht="72.5" x14ac:dyDescent="0.35">
      <c r="A38" s="157" t="s">
        <v>187</v>
      </c>
      <c r="B38" s="159" t="s">
        <v>274</v>
      </c>
    </row>
    <row r="39" spans="1:2" ht="340.5" customHeight="1" x14ac:dyDescent="0.35">
      <c r="A39" s="157" t="s">
        <v>188</v>
      </c>
      <c r="B39" s="159" t="s">
        <v>275</v>
      </c>
    </row>
    <row r="40" spans="1:2" x14ac:dyDescent="0.35">
      <c r="A40" s="157" t="s">
        <v>253</v>
      </c>
      <c r="B40" s="159" t="s">
        <v>276</v>
      </c>
    </row>
    <row r="42" spans="1:2" x14ac:dyDescent="0.35">
      <c r="A42" s="362" t="s">
        <v>606</v>
      </c>
    </row>
    <row r="43" spans="1:2" x14ac:dyDescent="0.35">
      <c r="A43" s="208" t="s">
        <v>89</v>
      </c>
      <c r="B43" s="209" t="s">
        <v>90</v>
      </c>
    </row>
    <row r="44" spans="1:2" ht="59.5" customHeight="1" x14ac:dyDescent="0.35">
      <c r="A44" s="157" t="s">
        <v>518</v>
      </c>
      <c r="B44" s="159" t="s">
        <v>607</v>
      </c>
    </row>
    <row r="45" spans="1:2" ht="72.5" x14ac:dyDescent="0.35">
      <c r="A45" s="157" t="s">
        <v>91</v>
      </c>
      <c r="B45" s="159" t="s">
        <v>772</v>
      </c>
    </row>
    <row r="46" spans="1:2" ht="74.150000000000006" customHeight="1" x14ac:dyDescent="0.35">
      <c r="A46" s="157" t="s">
        <v>147</v>
      </c>
      <c r="B46" s="159" t="s">
        <v>773</v>
      </c>
    </row>
    <row r="47" spans="1:2" x14ac:dyDescent="0.35">
      <c r="A47" s="368"/>
      <c r="B47" s="369"/>
    </row>
    <row r="48" spans="1:2" x14ac:dyDescent="0.35">
      <c r="A48" s="370" t="s">
        <v>774</v>
      </c>
      <c r="B48" s="369"/>
    </row>
    <row r="49" spans="1:2" x14ac:dyDescent="0.35">
      <c r="A49" s="208" t="s">
        <v>89</v>
      </c>
      <c r="B49" s="209" t="s">
        <v>90</v>
      </c>
    </row>
    <row r="50" spans="1:2" ht="43.5" x14ac:dyDescent="0.35">
      <c r="A50" s="157" t="s">
        <v>277</v>
      </c>
      <c r="B50" s="158" t="s">
        <v>278</v>
      </c>
    </row>
    <row r="51" spans="1:2" ht="130.5" x14ac:dyDescent="0.35">
      <c r="A51" s="157" t="s">
        <v>121</v>
      </c>
      <c r="B51" s="158" t="s">
        <v>610</v>
      </c>
    </row>
    <row r="52" spans="1:2" ht="43.5" x14ac:dyDescent="0.35">
      <c r="A52" s="157" t="s">
        <v>87</v>
      </c>
      <c r="B52" s="158" t="s">
        <v>608</v>
      </c>
    </row>
    <row r="53" spans="1:2" ht="142" customHeight="1" x14ac:dyDescent="0.35">
      <c r="A53" s="157" t="s">
        <v>539</v>
      </c>
      <c r="B53" s="158" t="s">
        <v>609</v>
      </c>
    </row>
    <row r="54" spans="1:2" s="361" customFormat="1" ht="409.5" customHeight="1" x14ac:dyDescent="0.35">
      <c r="A54" s="575" t="s">
        <v>523</v>
      </c>
      <c r="B54" s="576" t="s">
        <v>635</v>
      </c>
    </row>
    <row r="55" spans="1:2" x14ac:dyDescent="0.35">
      <c r="A55" s="575"/>
      <c r="B55" s="576"/>
    </row>
    <row r="56" spans="1:2" x14ac:dyDescent="0.35">
      <c r="A56" s="575"/>
      <c r="B56" s="576"/>
    </row>
    <row r="57" spans="1:2" x14ac:dyDescent="0.35">
      <c r="A57" s="575"/>
      <c r="B57" s="576"/>
    </row>
    <row r="58" spans="1:2" ht="188.5" customHeight="1" x14ac:dyDescent="0.35">
      <c r="A58" s="575"/>
      <c r="B58" s="576"/>
    </row>
    <row r="60" spans="1:2" x14ac:dyDescent="0.35">
      <c r="A60" s="362" t="s">
        <v>775</v>
      </c>
    </row>
    <row r="61" spans="1:2" x14ac:dyDescent="0.35">
      <c r="A61" s="358" t="s">
        <v>89</v>
      </c>
      <c r="B61" s="359" t="s">
        <v>90</v>
      </c>
    </row>
    <row r="62" spans="1:2" ht="29.15" customHeight="1" x14ac:dyDescent="0.35">
      <c r="A62" s="157" t="s">
        <v>528</v>
      </c>
      <c r="B62" s="159" t="s">
        <v>612</v>
      </c>
    </row>
    <row r="63" spans="1:2" ht="28" customHeight="1" x14ac:dyDescent="0.35">
      <c r="A63" s="157" t="s">
        <v>584</v>
      </c>
      <c r="B63" s="159" t="s">
        <v>613</v>
      </c>
    </row>
    <row r="64" spans="1:2" ht="77.150000000000006" customHeight="1" x14ac:dyDescent="0.35">
      <c r="A64" s="157" t="s">
        <v>228</v>
      </c>
      <c r="B64" s="159" t="s">
        <v>267</v>
      </c>
    </row>
    <row r="65" spans="1:2" ht="58" customHeight="1" x14ac:dyDescent="0.35">
      <c r="A65" s="157" t="s">
        <v>244</v>
      </c>
      <c r="B65" s="159" t="s">
        <v>614</v>
      </c>
    </row>
    <row r="66" spans="1:2" ht="43.5" x14ac:dyDescent="0.35">
      <c r="A66" s="157" t="s">
        <v>252</v>
      </c>
      <c r="B66" s="159" t="s">
        <v>269</v>
      </c>
    </row>
    <row r="67" spans="1:2" ht="188.5" customHeight="1" x14ac:dyDescent="0.35">
      <c r="A67" s="159" t="s">
        <v>194</v>
      </c>
      <c r="B67" s="159" t="s">
        <v>615</v>
      </c>
    </row>
    <row r="68" spans="1:2" ht="29" x14ac:dyDescent="0.35">
      <c r="A68" s="159" t="s">
        <v>195</v>
      </c>
      <c r="B68" s="159" t="s">
        <v>616</v>
      </c>
    </row>
  </sheetData>
  <sheetProtection algorithmName="SHA-512" hashValue="zEaqgrtnYXQAJQe+Oo6XII1dcmmGJpRuo+jIrBSwqek/xz3Pj+GhlwilFkuUCc/zRO0gHWwYJy5NBXTrMoSSxg==" saltValue="xpBNMoxChTsAqIzwQ/Iw2w==" spinCount="100000" sheet="1" objects="1" scenarios="1"/>
  <mergeCells count="2">
    <mergeCell ref="A54:A58"/>
    <mergeCell ref="B54:B58"/>
  </mergeCells>
  <pageMargins left="0.7" right="0.7" top="0.75" bottom="0.75" header="0.3" footer="0.3"/>
  <pageSetup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92A0B-467D-40D5-B9CA-EF1FF91115F8}">
  <sheetPr codeName="Sheet4">
    <tabColor theme="8"/>
  </sheetPr>
  <dimension ref="A1:H19"/>
  <sheetViews>
    <sheetView workbookViewId="0"/>
  </sheetViews>
  <sheetFormatPr defaultColWidth="9.1796875" defaultRowHeight="14.5" x14ac:dyDescent="0.35"/>
  <cols>
    <col min="1" max="1" width="25.7265625" customWidth="1"/>
    <col min="2" max="6" width="20.7265625" customWidth="1"/>
    <col min="7" max="7" width="28.453125" customWidth="1"/>
    <col min="8" max="8" width="27" customWidth="1"/>
  </cols>
  <sheetData>
    <row r="1" spans="1:8" x14ac:dyDescent="0.35">
      <c r="A1" s="1" t="s">
        <v>181</v>
      </c>
    </row>
    <row r="2" spans="1:8" x14ac:dyDescent="0.35">
      <c r="A2" s="1" t="s">
        <v>502</v>
      </c>
    </row>
    <row r="3" spans="1:8" x14ac:dyDescent="0.35">
      <c r="C3" s="95"/>
    </row>
    <row r="4" spans="1:8" x14ac:dyDescent="0.35">
      <c r="A4" t="s">
        <v>57</v>
      </c>
    </row>
    <row r="9" spans="1:8" s="146" customFormat="1" ht="29" x14ac:dyDescent="0.35">
      <c r="A9" s="144" t="s">
        <v>183</v>
      </c>
      <c r="B9" s="149" t="s">
        <v>58</v>
      </c>
      <c r="C9" s="149" t="s">
        <v>59</v>
      </c>
      <c r="D9" s="149" t="s">
        <v>60</v>
      </c>
      <c r="E9" s="149" t="s">
        <v>61</v>
      </c>
      <c r="F9" s="149" t="s">
        <v>62</v>
      </c>
      <c r="G9" s="149" t="s">
        <v>108</v>
      </c>
      <c r="H9" s="143" t="s">
        <v>63</v>
      </c>
    </row>
    <row r="10" spans="1:8" x14ac:dyDescent="0.35">
      <c r="A10" s="189"/>
      <c r="B10" s="185"/>
      <c r="C10" s="185"/>
      <c r="D10" s="249"/>
      <c r="E10" s="186"/>
      <c r="F10" s="186"/>
      <c r="G10" s="186"/>
      <c r="H10" s="170"/>
    </row>
    <row r="11" spans="1:8" x14ac:dyDescent="0.35">
      <c r="A11" s="9"/>
      <c r="B11" s="9"/>
      <c r="C11" s="9"/>
      <c r="D11" s="9"/>
      <c r="E11" s="9"/>
      <c r="F11" s="9"/>
      <c r="G11" s="9"/>
      <c r="H11" s="9"/>
    </row>
    <row r="12" spans="1:8" x14ac:dyDescent="0.35">
      <c r="A12" s="9"/>
      <c r="B12" s="9"/>
      <c r="C12" s="9"/>
      <c r="D12" s="9"/>
      <c r="E12" s="9"/>
      <c r="F12" s="9"/>
      <c r="G12" s="9"/>
      <c r="H12" s="9"/>
    </row>
    <row r="13" spans="1:8" x14ac:dyDescent="0.35">
      <c r="A13" s="9"/>
      <c r="B13" s="9"/>
      <c r="C13" s="9"/>
      <c r="D13" s="9"/>
      <c r="E13" s="9"/>
      <c r="F13" s="9"/>
      <c r="G13" s="9"/>
      <c r="H13" s="9"/>
    </row>
    <row r="14" spans="1:8" x14ac:dyDescent="0.35">
      <c r="A14" s="9"/>
      <c r="B14" s="9"/>
      <c r="C14" s="9"/>
      <c r="D14" s="9"/>
      <c r="E14" s="9"/>
      <c r="F14" s="9"/>
      <c r="G14" s="9"/>
      <c r="H14" s="9"/>
    </row>
    <row r="15" spans="1:8" x14ac:dyDescent="0.35">
      <c r="A15" s="9"/>
      <c r="B15" s="9"/>
      <c r="C15" s="9"/>
      <c r="D15" s="9"/>
      <c r="E15" s="9"/>
      <c r="F15" s="9"/>
      <c r="G15" s="9"/>
      <c r="H15" s="9"/>
    </row>
    <row r="16" spans="1:8" x14ac:dyDescent="0.35">
      <c r="A16" s="152"/>
      <c r="B16" s="153"/>
      <c r="C16" s="154"/>
      <c r="D16" s="155"/>
      <c r="E16" s="9"/>
      <c r="F16" s="9"/>
      <c r="G16" s="9"/>
      <c r="H16" s="156"/>
    </row>
    <row r="17" spans="1:4" x14ac:dyDescent="0.35">
      <c r="A17" s="10"/>
      <c r="B17" s="2"/>
      <c r="C17" s="150"/>
      <c r="D17" s="151"/>
    </row>
    <row r="18" spans="1:4" x14ac:dyDescent="0.35">
      <c r="A18" s="10"/>
      <c r="B18" s="2"/>
      <c r="C18" s="150"/>
      <c r="D18" s="151"/>
    </row>
    <row r="19" spans="1:4" x14ac:dyDescent="0.35">
      <c r="A19" s="10"/>
      <c r="B19" s="2"/>
      <c r="C19" s="150"/>
      <c r="D19" s="151"/>
    </row>
  </sheetData>
  <sheetProtection algorithmName="SHA-512" hashValue="3DGHwaG9SFnbM+xNrAvWSGdbSm3QGTgB2A/WxAWuZBeVthfC7n4/3JkQ/5UVYU4IsNI2G+cQI1k+OKT5GyquTQ==" saltValue="IYzSQRMxtuJapWFAPITKMg==" spinCount="100000" sheet="1" objects="1" scenarios="1"/>
  <dataConsolidate/>
  <dataValidations xWindow="292" yWindow="488" count="8">
    <dataValidation type="textLength" operator="lessThanOrEqual" allowBlank="1" showInputMessage="1" showErrorMessage="1" error="This is the start date of the reported period in the submission file (based on date of service). _x000a_MMDDYYYY Or MM/DD/YYYY" promptTitle="Period Beginning Date" prompt="This is the start date of the reported period in the submission file (based on date of service). _x000a_MMDDYYYY Or MM/DD/YYYY" sqref="B10" xr:uid="{06ED9CEC-45D5-4989-BABC-4FD5754D6FF4}">
      <formula1>10</formula1>
    </dataValidation>
    <dataValidation type="textLength" operator="lessThanOrEqual" allowBlank="1" showInputMessage="1" showErrorMessage="1" error="This is the end date of the reported period in the submission file. MMDDYYYY Or MM/DD/YYYY" promptTitle="Period Ending Date" prompt="This is the end date of the reported period in the submission file (based on date of service). MMDDYY or MM/DD/YY" sqref="C10" xr:uid="{BCE244AB-0FD9-4588-B597-E49E612A517C}">
      <formula1>10</formula1>
    </dataValidation>
    <dataValidation operator="lessThanOrEqual" allowBlank="1" showInputMessage="1" showErrorMessage="1" error="Insurer’s comments on TME data. (255 characters or less)." promptTitle="Insurer Comments" prompt="Insurer’s comments on TME data. " sqref="D10" xr:uid="{AD5A8B65-2534-4E6F-AA91-CE7AA4126430}"/>
    <dataValidation type="textLength" operator="lessThanOrEqual" allowBlank="1" showInputMessage="1" showErrorMessage="1" error="The clinical risk adjustment tool, software or product used to calculate the clinical risk adjustment score required in the TME file (80 characters or less)." promptTitle="Clinical Risk Adjustment Tool" prompt="The clinical risk adjustment tool, software or product used to calculate the clinical risk adjustment score required in the TME file (80 characters or less)." sqref="E10" xr:uid="{8C5DDE0A-61B6-4DEA-A8F0-7829A9C02101}">
      <formula1>80</formula1>
    </dataValidation>
    <dataValidation type="textLength" operator="lessThanOrEqual" allowBlank="1" showInputMessage="1" showErrorMessage="1" error="The version number of the clinical risk adjustment tool used to calculate the clinical risk adjustment score required in the TME file (20 characters or less)." promptTitle="Clinical Risk Adjustment Version" prompt="The version number of the clinical risk adjustment tool used to calculate the clinical risk adjustment score required in the TME file (20 characters or less)." sqref="F10" xr:uid="{CD935CAE-A89E-4A3E-8652-5B99F460A0DE}">
      <formula1>20</formula1>
    </dataValidation>
    <dataValidation allowBlank="1" showInputMessage="1" showErrorMessage="1" promptTitle="Doing Business As" prompt="Any Medicare Managed Care Organization must submit all names for which it is “doing business as” in the state of Rhode Island." sqref="H10" xr:uid="{3A6F5614-8E60-4B08-8E16-1BAE515777C3}"/>
    <dataValidation type="textLength" operator="lessThanOrEqual" allowBlank="1" showInputMessage="1" showErrorMessage="1" error="The underlying methodology used to adjust expenditures to account for patients’ underlying clinical risk (1000 characters or less)." promptTitle="Clinical Risk Adj Methodology" prompt="The underlying methodology used to adjust expenditures to account for patients’ underlying clinical risk (1000 characters or less)." sqref="G10" xr:uid="{BF333B90-1C3F-4070-A0A1-0504A3879C4C}">
      <formula1>1000</formula1>
    </dataValidation>
    <dataValidation type="whole" allowBlank="1" showInputMessage="1" showErrorMessage="1" errorTitle="Invalid ID" error="The ID you entered does not match any org ID for a RI insurer. Please see &quot;Definitions&quot; tab for a list of valid IDs." promptTitle="Insurer Org ID:" prompt="Blue Cross Blue Shield of RI: 201_x000a_Neighborhood Health Plan of RI: 202_x000a_Tufts Health Plan: 203_x000a_UnitedHealthcare: 204" sqref="A10" xr:uid="{497C3F54-4323-448E-8341-4AF9A118AD68}">
      <formula1>201</formula1>
      <formula2>204</formula2>
    </dataValidation>
  </dataValidations>
  <pageMargins left="0.7" right="0.7" top="0.75" bottom="0.75" header="0.3" footer="0.3"/>
  <pageSetup orientation="portrait" horizontalDpi="1200" verticalDpi="120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4CB8C-60F4-466A-97E8-6CEE038FD6A3}">
  <sheetPr codeName="Sheet5">
    <tabColor theme="3"/>
  </sheetPr>
  <dimension ref="A1:H19"/>
  <sheetViews>
    <sheetView workbookViewId="0">
      <selection activeCell="D56" sqref="D56"/>
    </sheetView>
  </sheetViews>
  <sheetFormatPr defaultColWidth="9.1796875" defaultRowHeight="14.5" x14ac:dyDescent="0.35"/>
  <cols>
    <col min="1" max="1" width="25.7265625" customWidth="1"/>
    <col min="2" max="6" width="20.7265625" customWidth="1"/>
    <col min="7" max="7" width="28.453125" customWidth="1"/>
    <col min="8" max="8" width="13.81640625" customWidth="1"/>
  </cols>
  <sheetData>
    <row r="1" spans="1:8" x14ac:dyDescent="0.35">
      <c r="A1" s="1" t="s">
        <v>181</v>
      </c>
    </row>
    <row r="2" spans="1:8" x14ac:dyDescent="0.35">
      <c r="A2" s="1" t="s">
        <v>672</v>
      </c>
    </row>
    <row r="4" spans="1:8" x14ac:dyDescent="0.35">
      <c r="A4" t="s">
        <v>57</v>
      </c>
    </row>
    <row r="9" spans="1:8" s="146" customFormat="1" ht="29" x14ac:dyDescent="0.35">
      <c r="A9" s="144" t="s">
        <v>183</v>
      </c>
      <c r="B9" s="149" t="s">
        <v>58</v>
      </c>
      <c r="C9" s="149" t="s">
        <v>59</v>
      </c>
      <c r="D9" s="149" t="s">
        <v>60</v>
      </c>
      <c r="E9" s="149" t="s">
        <v>61</v>
      </c>
      <c r="F9" s="149" t="s">
        <v>62</v>
      </c>
      <c r="G9" s="149" t="s">
        <v>108</v>
      </c>
      <c r="H9" s="143" t="s">
        <v>63</v>
      </c>
    </row>
    <row r="10" spans="1:8" x14ac:dyDescent="0.35">
      <c r="A10" s="189"/>
      <c r="B10" s="185"/>
      <c r="C10" s="185"/>
      <c r="D10" s="249"/>
      <c r="E10" s="186"/>
      <c r="F10" s="186"/>
      <c r="G10" s="186"/>
      <c r="H10" s="170"/>
    </row>
    <row r="11" spans="1:8" x14ac:dyDescent="0.35">
      <c r="A11" s="9"/>
      <c r="B11" s="9"/>
      <c r="C11" s="9"/>
      <c r="D11" s="9"/>
      <c r="E11" s="9"/>
      <c r="F11" s="9"/>
      <c r="G11" s="9"/>
      <c r="H11" s="9"/>
    </row>
    <row r="12" spans="1:8" x14ac:dyDescent="0.35">
      <c r="A12" s="9"/>
      <c r="B12" s="9"/>
      <c r="C12" s="9"/>
      <c r="D12" s="9"/>
      <c r="E12" s="9"/>
      <c r="F12" s="9"/>
      <c r="G12" s="9"/>
      <c r="H12" s="9"/>
    </row>
    <row r="13" spans="1:8" x14ac:dyDescent="0.35">
      <c r="A13" s="9"/>
      <c r="B13" s="9"/>
      <c r="C13" s="9"/>
      <c r="D13" s="9"/>
      <c r="E13" s="9"/>
      <c r="F13" s="9"/>
      <c r="G13" s="9"/>
      <c r="H13" s="9"/>
    </row>
    <row r="14" spans="1:8" x14ac:dyDescent="0.35">
      <c r="A14" s="9"/>
      <c r="B14" s="9"/>
      <c r="C14" s="9"/>
      <c r="D14" s="9"/>
      <c r="E14" s="9"/>
      <c r="F14" s="9"/>
      <c r="G14" s="9"/>
      <c r="H14" s="9"/>
    </row>
    <row r="15" spans="1:8" x14ac:dyDescent="0.35">
      <c r="A15" s="9"/>
      <c r="B15" s="9"/>
      <c r="C15" s="9"/>
      <c r="D15" s="9"/>
      <c r="E15" s="9"/>
      <c r="F15" s="9"/>
      <c r="G15" s="9"/>
      <c r="H15" s="9"/>
    </row>
    <row r="16" spans="1:8" x14ac:dyDescent="0.35">
      <c r="A16" s="9"/>
      <c r="B16" s="9"/>
      <c r="C16" s="9"/>
      <c r="D16" s="9"/>
      <c r="E16" s="9"/>
      <c r="F16" s="9"/>
      <c r="G16" s="9"/>
      <c r="H16" s="9"/>
    </row>
    <row r="19" spans="1:4" x14ac:dyDescent="0.35">
      <c r="A19" s="10"/>
      <c r="B19" s="2"/>
      <c r="C19" s="150"/>
      <c r="D19" s="151"/>
    </row>
  </sheetData>
  <sheetProtection algorithmName="SHA-512" hashValue="lH70N2B5aefcScckacJ6wsbvFdrjL8awxJ5AS6lnO8B/GUCy6DIDCF6zNzEVe+ISxTlO8qLl84vBmwB2b7NHCQ==" saltValue="qgmoX6dDoNcgQBoxHXCNYw==" spinCount="100000" sheet="1" objects="1" scenarios="1"/>
  <dataValidations count="8">
    <dataValidation type="whole" allowBlank="1" showInputMessage="1" showErrorMessage="1" errorTitle="Invalid ID" error="The ID you entered does not match any org ID for a RI insurer. Please see &quot;Definitions&quot; tab for a list of valid IDs." promptTitle="Insurer Org ID:" prompt="Blue Cross Blue Shield of RI: 201_x000a_Neighborhood Health Plan of RI: 202_x000a_Tufts Health Plan: 203_x000a_UnitedHealthcare: 204" sqref="A10" xr:uid="{10AF39C5-66D1-4A3B-80B3-80B30E263D46}">
      <formula1>201</formula1>
      <formula2>204</formula2>
    </dataValidation>
    <dataValidation type="textLength" operator="lessThanOrEqual" allowBlank="1" showInputMessage="1" showErrorMessage="1" error="This is the end date of the reported period in the submission file. MMDDYYYY Or MM/DD/YYYY" promptTitle="Period Ending Date" prompt="This is the end date of the reported period in the submission file (based on date of service). MMDDYY or MM/DD/YY" sqref="C10" xr:uid="{0B6E5957-0A63-4C3B-8C41-5060FF01FB8E}">
      <formula1>10</formula1>
    </dataValidation>
    <dataValidation type="textLength" operator="lessThanOrEqual" allowBlank="1" showInputMessage="1" showErrorMessage="1" error="This is the start date of the reported period in the submission file (based on date of service). _x000a_MMDDYYYY Or MM/DD/YYYY" promptTitle="Period Beginning Date" prompt="This is the start date of the reported period in the submission file (based on date of service). _x000a_MMDDYYYY Or MM/DD/YYYY" sqref="B10" xr:uid="{D1AF6BDE-BEA1-48EF-AE5A-2F72FD10742D}">
      <formula1>10</formula1>
    </dataValidation>
    <dataValidation type="textLength" operator="lessThanOrEqual" allowBlank="1" showInputMessage="1" showErrorMessage="1" error="The underlying methodology used to adjust expenditures to account for patients’ underlying clinical risk (1000 characters or less)." promptTitle="Clinical Risk Adj Methodology" prompt="The underlying methodology used to adjust expenditures to account for patients’ underlying clinical risk (1000 characters or less)." sqref="G10" xr:uid="{D39C8291-FB81-4AB1-9681-AF6CFC37BAA5}">
      <formula1>1000</formula1>
    </dataValidation>
    <dataValidation allowBlank="1" showInputMessage="1" showErrorMessage="1" promptTitle="Doing Business As" prompt="Any Medicare Managed Care Organization must submit all names for which it is “doing business as” in the state of Rhode Island." sqref="H10" xr:uid="{E36022DD-DF22-4011-BE47-BF2F8298D19A}"/>
    <dataValidation type="textLength" operator="lessThanOrEqual" allowBlank="1" showInputMessage="1" showErrorMessage="1" error="The version number of the clinical risk adjustment tool used to calculate the clinical risk adjustment score required in the TME file (20 characters or less)." promptTitle="Clinical Risk Adjustment Version" prompt="The version number of the clinical risk adjustment tool used to calculate the clinical risk adjustment score required in the TME file (20 characters or less)." sqref="F10" xr:uid="{69CB450D-0F98-46B5-A416-D8EB99520196}">
      <formula1>20</formula1>
    </dataValidation>
    <dataValidation type="textLength" operator="lessThanOrEqual" allowBlank="1" showInputMessage="1" showErrorMessage="1" error="The clinical risk adjustment tool, software or product used to calculate the clinical risk adjustment score required in the TME file (80 characters or less)." promptTitle="Clinical Risk Adjustment Tool" prompt="The clinical risk adjustment tool, software or product used to calculate the clinical risk adjustment score required in the TME file (80 characters or less)." sqref="E10" xr:uid="{B82D971D-6EEF-46E8-949E-65D4B4D663B6}">
      <formula1>80</formula1>
    </dataValidation>
    <dataValidation operator="lessThanOrEqual" allowBlank="1" showInputMessage="1" showErrorMessage="1" error="Insurer’s comments on TME data. (255 characters or less)." promptTitle="Insurer Comments" prompt="Insurer’s comments on TME data. " sqref="D10" xr:uid="{A169E7DF-1E07-43DB-96B0-1FBE401DEC98}"/>
  </dataValidations>
  <pageMargins left="0.7" right="0.7" top="0.75" bottom="0.75" header="0.3" footer="0.3"/>
  <pageSetup orientation="portrait" horizontalDpi="1200" verticalDpi="1200"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50606-9D5A-47F0-A3E7-F0EABD06B259}">
  <sheetPr codeName="Sheet21">
    <tabColor theme="8"/>
  </sheetPr>
  <dimension ref="A1:AC134"/>
  <sheetViews>
    <sheetView workbookViewId="0"/>
  </sheetViews>
  <sheetFormatPr defaultColWidth="9.1796875" defaultRowHeight="14.5" x14ac:dyDescent="0.35"/>
  <cols>
    <col min="1" max="1" width="25.7265625" customWidth="1"/>
    <col min="2" max="12" width="16.7265625" customWidth="1"/>
    <col min="13" max="13" width="34.1796875" customWidth="1"/>
    <col min="14" max="15" width="25.7265625" customWidth="1"/>
    <col min="16" max="26" width="16.7265625" customWidth="1"/>
    <col min="27" max="27" width="12.26953125" bestFit="1" customWidth="1"/>
    <col min="28" max="28" width="16" customWidth="1"/>
    <col min="29" max="29" width="18.54296875" customWidth="1"/>
  </cols>
  <sheetData>
    <row r="1" spans="1:29" x14ac:dyDescent="0.35">
      <c r="A1" s="1" t="s">
        <v>181</v>
      </c>
    </row>
    <row r="2" spans="1:29" x14ac:dyDescent="0.35">
      <c r="A2" s="1" t="s">
        <v>503</v>
      </c>
    </row>
    <row r="3" spans="1:29" x14ac:dyDescent="0.35">
      <c r="F3" s="509" t="s">
        <v>756</v>
      </c>
      <c r="I3" s="509" t="s">
        <v>755</v>
      </c>
      <c r="L3" s="509" t="s">
        <v>757</v>
      </c>
    </row>
    <row r="4" spans="1:29" x14ac:dyDescent="0.35">
      <c r="A4" t="s">
        <v>57</v>
      </c>
      <c r="F4" s="577" t="str">
        <f>IF(AND(A11&lt;&gt;"", 'Data Validation'!C5&gt;0),"STOP - MISALIGNMENT IN MEMBER MONTHS WITH OTHER TABS FOR 2021 - CHECK DATA VALIDATION TAB.", "Good")</f>
        <v>Good</v>
      </c>
      <c r="G4" s="577"/>
      <c r="I4" s="578" t="str">
        <f>IF(AND(A11&lt;&gt;"", OR('Data Validation'!C11&gt;0,'Data Validation'!D11&gt;0,'Data Validation'!E11&gt;0,'Data Validation'!F11&gt;0,'Data Validation'!G11&gt;0,'Data Validation'!H11&gt;0)), "STOP - MISALIGNMENT OF TRUNCATED OR NON-TRUNCATED SPENDING WITH AGE/SEX TAB FOR 2021. CHECK DATA VALIDATION TAB)", "Good")</f>
        <v>Good</v>
      </c>
      <c r="J4" s="578"/>
      <c r="L4" s="577" t="str">
        <f>IF(COUNTIF(ACOAETME2021[[#All],[Average Claims Truncated Per Member]], "&gt;250000")+COUNTIF(ACOAETME2021[[#All],[Total Claims Excluded because of Truncation (A17) / Total Non-Truncated Claims Expenses (A19)]], "&gt;10%")&gt;0, "STOP - see highlighted cells in A26 or A27", "Good")</f>
        <v>Good</v>
      </c>
      <c r="M4" s="577"/>
    </row>
    <row r="5" spans="1:29" x14ac:dyDescent="0.35">
      <c r="A5" s="139" t="s">
        <v>182</v>
      </c>
      <c r="F5" s="577"/>
      <c r="G5" s="577"/>
      <c r="I5" s="578"/>
      <c r="J5" s="578"/>
      <c r="L5" s="577"/>
      <c r="M5" s="577"/>
    </row>
    <row r="6" spans="1:29" x14ac:dyDescent="0.35">
      <c r="F6" s="577"/>
      <c r="G6" s="577"/>
      <c r="I6" s="578"/>
      <c r="J6" s="578"/>
      <c r="L6" s="577"/>
      <c r="M6" s="577"/>
    </row>
    <row r="7" spans="1:29" x14ac:dyDescent="0.35">
      <c r="F7" s="577"/>
      <c r="G7" s="577"/>
      <c r="I7" s="578"/>
      <c r="J7" s="578"/>
      <c r="L7" s="577"/>
      <c r="M7" s="577"/>
      <c r="AB7" s="231" t="s">
        <v>509</v>
      </c>
      <c r="AC7" s="231"/>
    </row>
    <row r="9" spans="1:29" x14ac:dyDescent="0.35">
      <c r="C9" s="3" t="s">
        <v>64</v>
      </c>
      <c r="D9" s="3" t="s">
        <v>65</v>
      </c>
      <c r="E9" s="3" t="s">
        <v>66</v>
      </c>
      <c r="F9" s="3" t="s">
        <v>67</v>
      </c>
      <c r="G9" s="3" t="s">
        <v>68</v>
      </c>
      <c r="H9" s="3" t="s">
        <v>69</v>
      </c>
      <c r="I9" s="3" t="s">
        <v>70</v>
      </c>
      <c r="J9" s="3" t="s">
        <v>71</v>
      </c>
      <c r="K9" s="3" t="s">
        <v>72</v>
      </c>
      <c r="L9" s="3" t="s">
        <v>73</v>
      </c>
      <c r="M9" s="3" t="s">
        <v>74</v>
      </c>
      <c r="N9" s="3" t="s">
        <v>75</v>
      </c>
      <c r="O9" s="3" t="s">
        <v>76</v>
      </c>
      <c r="P9" s="3" t="s">
        <v>77</v>
      </c>
      <c r="Q9" s="3" t="s">
        <v>78</v>
      </c>
      <c r="R9" s="3" t="s">
        <v>79</v>
      </c>
      <c r="S9" s="3" t="s">
        <v>80</v>
      </c>
      <c r="T9" s="3" t="s">
        <v>81</v>
      </c>
      <c r="U9" s="3" t="s">
        <v>82</v>
      </c>
      <c r="V9" s="140" t="s">
        <v>125</v>
      </c>
      <c r="W9" s="140" t="s">
        <v>83</v>
      </c>
      <c r="X9" s="3" t="s">
        <v>113</v>
      </c>
      <c r="Y9" s="3" t="s">
        <v>114</v>
      </c>
      <c r="Z9" s="3" t="s">
        <v>511</v>
      </c>
      <c r="AA9" s="3" t="s">
        <v>512</v>
      </c>
      <c r="AB9" s="3" t="s">
        <v>758</v>
      </c>
      <c r="AC9" s="3" t="s">
        <v>759</v>
      </c>
    </row>
    <row r="10" spans="1:29" ht="87" x14ac:dyDescent="0.35">
      <c r="A10" s="141" t="s">
        <v>521</v>
      </c>
      <c r="B10" s="142" t="s">
        <v>3</v>
      </c>
      <c r="C10" s="142" t="s">
        <v>87</v>
      </c>
      <c r="D10" s="142" t="s">
        <v>92</v>
      </c>
      <c r="E10" s="142" t="s">
        <v>12</v>
      </c>
      <c r="F10" s="142" t="s">
        <v>13</v>
      </c>
      <c r="G10" s="142" t="s">
        <v>14</v>
      </c>
      <c r="H10" s="142" t="s">
        <v>184</v>
      </c>
      <c r="I10" s="142" t="s">
        <v>16</v>
      </c>
      <c r="J10" s="142" t="s">
        <v>17</v>
      </c>
      <c r="K10" s="142" t="s">
        <v>94</v>
      </c>
      <c r="L10" s="142" t="s">
        <v>19</v>
      </c>
      <c r="M10" s="142" t="s">
        <v>109</v>
      </c>
      <c r="N10" s="142" t="s">
        <v>110</v>
      </c>
      <c r="O10" s="142" t="s">
        <v>111</v>
      </c>
      <c r="P10" s="142" t="s">
        <v>112</v>
      </c>
      <c r="Q10" s="142" t="s">
        <v>186</v>
      </c>
      <c r="R10" s="142" t="s">
        <v>85</v>
      </c>
      <c r="S10" s="142" t="s">
        <v>572</v>
      </c>
      <c r="T10" s="142" t="s">
        <v>510</v>
      </c>
      <c r="U10" s="506" t="s">
        <v>543</v>
      </c>
      <c r="V10" s="506" t="s">
        <v>513</v>
      </c>
      <c r="W10" s="506" t="s">
        <v>86</v>
      </c>
      <c r="X10" s="506" t="s">
        <v>514</v>
      </c>
      <c r="Y10" s="506" t="s">
        <v>515</v>
      </c>
      <c r="Z10" s="506" t="s">
        <v>516</v>
      </c>
      <c r="AA10" s="506" t="s">
        <v>517</v>
      </c>
      <c r="AB10" s="505" t="s">
        <v>760</v>
      </c>
      <c r="AC10" s="507" t="s">
        <v>761</v>
      </c>
    </row>
    <row r="11" spans="1:29" x14ac:dyDescent="0.35">
      <c r="A11" s="176"/>
      <c r="B11" s="175"/>
      <c r="C11" s="179"/>
      <c r="D11" s="180"/>
      <c r="E11" s="181"/>
      <c r="F11" s="181"/>
      <c r="G11" s="181"/>
      <c r="H11" s="181"/>
      <c r="I11" s="181"/>
      <c r="J11" s="181"/>
      <c r="K11" s="181"/>
      <c r="L11" s="181"/>
      <c r="M11" s="181"/>
      <c r="N11" s="181"/>
      <c r="O11" s="181"/>
      <c r="P11" s="181"/>
      <c r="Q11" s="181"/>
      <c r="R11" s="181"/>
      <c r="S11" s="181"/>
      <c r="T11" s="443"/>
      <c r="U11"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1" s="182">
        <f>ACOAETME2021[[#This Row],[TOTAL Non-Truncated Unadjusted Claims Expenses]]-ACOAETME2021[[#This Row],[Total Claims Excluded because of Truncation]]</f>
        <v>0</v>
      </c>
      <c r="W11"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1" s="182">
        <f>ACOAETME2021[[#This Row],[TOTAL Non-Truncated Unadjusted Claims Expenses]]+ACOAETME2021[[#This Row],[TOTAL Non-Claims Expenses]]</f>
        <v>0</v>
      </c>
      <c r="Y11" s="182">
        <f>ACOAETME2021[[#This Row],[TOTAL Truncated Unadjusted Claims Expenses (A19 - A17)]]+ACOAETME2021[[#This Row],[TOTAL Non-Claims Expenses]]</f>
        <v>0</v>
      </c>
      <c r="Z11" s="540" t="str">
        <f>IFERROR(ACOAETME2021[[#This Row],[TOTAL Non-Truncated Unadjusted Expenses 
(A19+A21)]]/ACOAETME2021[[#This Row],[Member Months]], "NA")</f>
        <v>NA</v>
      </c>
      <c r="AA11" s="232" t="str">
        <f>IFERROR(ACOAETME2021[[#This Row],[TOTAL Truncated Unadjusted Expenses (A20+A21)]]/ACOAETME2021[[#This Row],[Member Months]], "NA")</f>
        <v>NA</v>
      </c>
      <c r="AB11" s="504">
        <f>IFERROR(ACOAETME2021[[#This Row],[Total Claims Excluded because of Truncation]]/ACOAETME2021[[#This Row],[Count of Members with Claims Truncated]],0)</f>
        <v>0</v>
      </c>
      <c r="AC11" s="508">
        <f>IFERROR(ACOAETME2021[[#This Row],[Total Claims Excluded because of Truncation]]/ACOAETME2021[[#This Row],[TOTAL Non-Truncated Unadjusted Claims Expenses]],0)</f>
        <v>0</v>
      </c>
    </row>
    <row r="12" spans="1:29" x14ac:dyDescent="0.35">
      <c r="A12" s="176"/>
      <c r="B12" s="175"/>
      <c r="C12" s="179"/>
      <c r="D12" s="180"/>
      <c r="E12" s="181"/>
      <c r="F12" s="181"/>
      <c r="G12" s="181"/>
      <c r="H12" s="181"/>
      <c r="I12" s="181"/>
      <c r="J12" s="181"/>
      <c r="K12" s="181"/>
      <c r="L12" s="181"/>
      <c r="M12" s="181"/>
      <c r="N12" s="181"/>
      <c r="O12" s="181"/>
      <c r="P12" s="181"/>
      <c r="Q12" s="181"/>
      <c r="R12" s="181"/>
      <c r="S12" s="181"/>
      <c r="T12" s="443"/>
      <c r="U12"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2" s="182">
        <f>ACOAETME2021[[#This Row],[TOTAL Non-Truncated Unadjusted Claims Expenses]]-ACOAETME2021[[#This Row],[Total Claims Excluded because of Truncation]]</f>
        <v>0</v>
      </c>
      <c r="W12"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2" s="182">
        <f>ACOAETME2021[[#This Row],[TOTAL Non-Truncated Unadjusted Claims Expenses]]+ACOAETME2021[[#This Row],[TOTAL Non-Claims Expenses]]</f>
        <v>0</v>
      </c>
      <c r="Y12" s="182">
        <f>ACOAETME2021[[#This Row],[TOTAL Truncated Unadjusted Claims Expenses (A19 - A17)]]+ACOAETME2021[[#This Row],[TOTAL Non-Claims Expenses]]</f>
        <v>0</v>
      </c>
      <c r="Z12" s="540" t="str">
        <f>IFERROR(ACOAETME2021[[#This Row],[TOTAL Non-Truncated Unadjusted Expenses 
(A19+A21)]]/ACOAETME2021[[#This Row],[Member Months]], "NA")</f>
        <v>NA</v>
      </c>
      <c r="AA12" s="232" t="str">
        <f>IFERROR(ACOAETME2021[[#This Row],[TOTAL Truncated Unadjusted Expenses (A20+A21)]]/ACOAETME2021[[#This Row],[Member Months]], "NA")</f>
        <v>NA</v>
      </c>
      <c r="AB12" s="504">
        <f>IFERROR(ACOAETME2021[[#This Row],[Total Claims Excluded because of Truncation]]/ACOAETME2021[[#This Row],[Count of Members with Claims Truncated]],0)</f>
        <v>0</v>
      </c>
      <c r="AC12" s="508">
        <f>IFERROR(ACOAETME2021[[#This Row],[Total Claims Excluded because of Truncation]]/ACOAETME2021[[#This Row],[TOTAL Non-Truncated Unadjusted Claims Expenses]],0)</f>
        <v>0</v>
      </c>
    </row>
    <row r="13" spans="1:29" x14ac:dyDescent="0.35">
      <c r="A13" s="176"/>
      <c r="B13" s="175"/>
      <c r="C13" s="179"/>
      <c r="D13" s="180"/>
      <c r="E13" s="181"/>
      <c r="F13" s="181"/>
      <c r="G13" s="181"/>
      <c r="H13" s="181"/>
      <c r="I13" s="181"/>
      <c r="J13" s="181"/>
      <c r="K13" s="181"/>
      <c r="L13" s="181"/>
      <c r="M13" s="181"/>
      <c r="N13" s="181"/>
      <c r="O13" s="181"/>
      <c r="P13" s="181"/>
      <c r="Q13" s="181"/>
      <c r="R13" s="181"/>
      <c r="S13" s="181"/>
      <c r="T13" s="181"/>
      <c r="U13"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3" s="182">
        <f>ACOAETME2021[[#This Row],[TOTAL Non-Truncated Unadjusted Claims Expenses]]-ACOAETME2021[[#This Row],[Total Claims Excluded because of Truncation]]</f>
        <v>0</v>
      </c>
      <c r="W13"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3" s="182">
        <f>ACOAETME2021[[#This Row],[TOTAL Non-Truncated Unadjusted Claims Expenses]]+ACOAETME2021[[#This Row],[TOTAL Non-Claims Expenses]]</f>
        <v>0</v>
      </c>
      <c r="Y13" s="182">
        <f>ACOAETME2021[[#This Row],[TOTAL Truncated Unadjusted Claims Expenses (A19 - A17)]]+ACOAETME2021[[#This Row],[TOTAL Non-Claims Expenses]]</f>
        <v>0</v>
      </c>
      <c r="Z13" s="540" t="str">
        <f>IFERROR(ACOAETME2021[[#This Row],[TOTAL Non-Truncated Unadjusted Expenses 
(A19+A21)]]/ACOAETME2021[[#This Row],[Member Months]], "NA")</f>
        <v>NA</v>
      </c>
      <c r="AA13" s="232" t="str">
        <f>IFERROR(ACOAETME2021[[#This Row],[TOTAL Truncated Unadjusted Expenses (A20+A21)]]/ACOAETME2021[[#This Row],[Member Months]], "NA")</f>
        <v>NA</v>
      </c>
      <c r="AB13" s="504">
        <f>IFERROR(ACOAETME2021[[#This Row],[Total Claims Excluded because of Truncation]]/ACOAETME2021[[#This Row],[Count of Members with Claims Truncated]],0)</f>
        <v>0</v>
      </c>
      <c r="AC13" s="508">
        <f>IFERROR(ACOAETME2021[[#This Row],[Total Claims Excluded because of Truncation]]/ACOAETME2021[[#This Row],[TOTAL Non-Truncated Unadjusted Claims Expenses]],0)</f>
        <v>0</v>
      </c>
    </row>
    <row r="14" spans="1:29" x14ac:dyDescent="0.35">
      <c r="A14" s="176"/>
      <c r="B14" s="175"/>
      <c r="C14" s="179"/>
      <c r="D14" s="180"/>
      <c r="E14" s="181"/>
      <c r="F14" s="181"/>
      <c r="G14" s="181"/>
      <c r="H14" s="181"/>
      <c r="I14" s="181"/>
      <c r="J14" s="181"/>
      <c r="K14" s="181"/>
      <c r="L14" s="181"/>
      <c r="M14" s="181"/>
      <c r="N14" s="181"/>
      <c r="O14" s="181"/>
      <c r="P14" s="181"/>
      <c r="Q14" s="181"/>
      <c r="R14" s="181"/>
      <c r="S14" s="181"/>
      <c r="T14" s="181"/>
      <c r="U14"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4" s="182">
        <f>ACOAETME2021[[#This Row],[TOTAL Non-Truncated Unadjusted Claims Expenses]]-ACOAETME2021[[#This Row],[Total Claims Excluded because of Truncation]]</f>
        <v>0</v>
      </c>
      <c r="W14"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4" s="182">
        <f>ACOAETME2021[[#This Row],[TOTAL Non-Truncated Unadjusted Claims Expenses]]+ACOAETME2021[[#This Row],[TOTAL Non-Claims Expenses]]</f>
        <v>0</v>
      </c>
      <c r="Y14" s="182">
        <f>ACOAETME2021[[#This Row],[TOTAL Truncated Unadjusted Claims Expenses (A19 - A17)]]+ACOAETME2021[[#This Row],[TOTAL Non-Claims Expenses]]</f>
        <v>0</v>
      </c>
      <c r="Z14" s="540" t="str">
        <f>IFERROR(ACOAETME2021[[#This Row],[TOTAL Non-Truncated Unadjusted Expenses 
(A19+A21)]]/ACOAETME2021[[#This Row],[Member Months]], "NA")</f>
        <v>NA</v>
      </c>
      <c r="AA14" s="232" t="str">
        <f>IFERROR(ACOAETME2021[[#This Row],[TOTAL Truncated Unadjusted Expenses (A20+A21)]]/ACOAETME2021[[#This Row],[Member Months]], "NA")</f>
        <v>NA</v>
      </c>
      <c r="AB14" s="504">
        <f>IFERROR(ACOAETME2021[[#This Row],[Total Claims Excluded because of Truncation]]/ACOAETME2021[[#This Row],[Count of Members with Claims Truncated]],0)</f>
        <v>0</v>
      </c>
      <c r="AC14" s="508">
        <f>IFERROR(ACOAETME2021[[#This Row],[Total Claims Excluded because of Truncation]]/ACOAETME2021[[#This Row],[TOTAL Non-Truncated Unadjusted Claims Expenses]],0)</f>
        <v>0</v>
      </c>
    </row>
    <row r="15" spans="1:29" x14ac:dyDescent="0.35">
      <c r="A15" s="176"/>
      <c r="B15" s="175"/>
      <c r="C15" s="179"/>
      <c r="D15" s="180"/>
      <c r="E15" s="181"/>
      <c r="F15" s="181"/>
      <c r="G15" s="181"/>
      <c r="H15" s="181"/>
      <c r="I15" s="181"/>
      <c r="J15" s="181"/>
      <c r="K15" s="181"/>
      <c r="L15" s="181"/>
      <c r="M15" s="181"/>
      <c r="N15" s="181"/>
      <c r="O15" s="181"/>
      <c r="P15" s="181"/>
      <c r="Q15" s="181"/>
      <c r="R15" s="181"/>
      <c r="S15" s="181"/>
      <c r="T15" s="181"/>
      <c r="U15"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5" s="182">
        <f>ACOAETME2021[[#This Row],[TOTAL Non-Truncated Unadjusted Claims Expenses]]-ACOAETME2021[[#This Row],[Total Claims Excluded because of Truncation]]</f>
        <v>0</v>
      </c>
      <c r="W15"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5" s="182">
        <f>ACOAETME2021[[#This Row],[TOTAL Non-Truncated Unadjusted Claims Expenses]]+ACOAETME2021[[#This Row],[TOTAL Non-Claims Expenses]]</f>
        <v>0</v>
      </c>
      <c r="Y15" s="182">
        <f>ACOAETME2021[[#This Row],[TOTAL Truncated Unadjusted Claims Expenses (A19 - A17)]]+ACOAETME2021[[#This Row],[TOTAL Non-Claims Expenses]]</f>
        <v>0</v>
      </c>
      <c r="Z15" s="540" t="str">
        <f>IFERROR(ACOAETME2021[[#This Row],[TOTAL Non-Truncated Unadjusted Expenses 
(A19+A21)]]/ACOAETME2021[[#This Row],[Member Months]], "NA")</f>
        <v>NA</v>
      </c>
      <c r="AA15" s="232" t="str">
        <f>IFERROR(ACOAETME2021[[#This Row],[TOTAL Truncated Unadjusted Expenses (A20+A21)]]/ACOAETME2021[[#This Row],[Member Months]], "NA")</f>
        <v>NA</v>
      </c>
      <c r="AB15" s="504">
        <f>IFERROR(ACOAETME2021[[#This Row],[Total Claims Excluded because of Truncation]]/ACOAETME2021[[#This Row],[Count of Members with Claims Truncated]],0)</f>
        <v>0</v>
      </c>
      <c r="AC15" s="508">
        <f>IFERROR(ACOAETME2021[[#This Row],[Total Claims Excluded because of Truncation]]/ACOAETME2021[[#This Row],[TOTAL Non-Truncated Unadjusted Claims Expenses]],0)</f>
        <v>0</v>
      </c>
    </row>
    <row r="16" spans="1:29" x14ac:dyDescent="0.35">
      <c r="A16" s="176"/>
      <c r="B16" s="175"/>
      <c r="C16" s="179"/>
      <c r="D16" s="180"/>
      <c r="E16" s="181"/>
      <c r="F16" s="181"/>
      <c r="G16" s="181"/>
      <c r="H16" s="181"/>
      <c r="I16" s="181"/>
      <c r="J16" s="181"/>
      <c r="K16" s="181"/>
      <c r="L16" s="181"/>
      <c r="M16" s="181"/>
      <c r="N16" s="181"/>
      <c r="O16" s="181"/>
      <c r="P16" s="181"/>
      <c r="Q16" s="181"/>
      <c r="R16" s="181"/>
      <c r="S16" s="181"/>
      <c r="T16" s="181"/>
      <c r="U16"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6" s="182">
        <f>ACOAETME2021[[#This Row],[TOTAL Non-Truncated Unadjusted Claims Expenses]]-ACOAETME2021[[#This Row],[Total Claims Excluded because of Truncation]]</f>
        <v>0</v>
      </c>
      <c r="W16"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6" s="182">
        <f>ACOAETME2021[[#This Row],[TOTAL Non-Truncated Unadjusted Claims Expenses]]+ACOAETME2021[[#This Row],[TOTAL Non-Claims Expenses]]</f>
        <v>0</v>
      </c>
      <c r="Y16" s="182">
        <f>ACOAETME2021[[#This Row],[TOTAL Truncated Unadjusted Claims Expenses (A19 - A17)]]+ACOAETME2021[[#This Row],[TOTAL Non-Claims Expenses]]</f>
        <v>0</v>
      </c>
      <c r="Z16" s="540" t="str">
        <f>IFERROR(ACOAETME2021[[#This Row],[TOTAL Non-Truncated Unadjusted Expenses 
(A19+A21)]]/ACOAETME2021[[#This Row],[Member Months]], "NA")</f>
        <v>NA</v>
      </c>
      <c r="AA16" s="232" t="str">
        <f>IFERROR(ACOAETME2021[[#This Row],[TOTAL Truncated Unadjusted Expenses (A20+A21)]]/ACOAETME2021[[#This Row],[Member Months]], "NA")</f>
        <v>NA</v>
      </c>
      <c r="AB16" s="504">
        <f>IFERROR(ACOAETME2021[[#This Row],[Total Claims Excluded because of Truncation]]/ACOAETME2021[[#This Row],[Count of Members with Claims Truncated]],0)</f>
        <v>0</v>
      </c>
      <c r="AC16" s="508">
        <f>IFERROR(ACOAETME2021[[#This Row],[Total Claims Excluded because of Truncation]]/ACOAETME2021[[#This Row],[TOTAL Non-Truncated Unadjusted Claims Expenses]],0)</f>
        <v>0</v>
      </c>
    </row>
    <row r="17" spans="1:29" x14ac:dyDescent="0.35">
      <c r="A17" s="176"/>
      <c r="B17" s="175"/>
      <c r="C17" s="179"/>
      <c r="D17" s="180"/>
      <c r="E17" s="181"/>
      <c r="F17" s="181"/>
      <c r="G17" s="181"/>
      <c r="H17" s="181"/>
      <c r="I17" s="181"/>
      <c r="J17" s="181"/>
      <c r="K17" s="181"/>
      <c r="L17" s="181"/>
      <c r="M17" s="181"/>
      <c r="N17" s="181"/>
      <c r="O17" s="181"/>
      <c r="P17" s="181"/>
      <c r="Q17" s="181"/>
      <c r="R17" s="181"/>
      <c r="S17" s="181"/>
      <c r="T17" s="181"/>
      <c r="U17"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7" s="182">
        <f>ACOAETME2021[[#This Row],[TOTAL Non-Truncated Unadjusted Claims Expenses]]-ACOAETME2021[[#This Row],[Total Claims Excluded because of Truncation]]</f>
        <v>0</v>
      </c>
      <c r="W17"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7" s="182">
        <f>ACOAETME2021[[#This Row],[TOTAL Non-Truncated Unadjusted Claims Expenses]]+ACOAETME2021[[#This Row],[TOTAL Non-Claims Expenses]]</f>
        <v>0</v>
      </c>
      <c r="Y17" s="182">
        <f>ACOAETME2021[[#This Row],[TOTAL Truncated Unadjusted Claims Expenses (A19 - A17)]]+ACOAETME2021[[#This Row],[TOTAL Non-Claims Expenses]]</f>
        <v>0</v>
      </c>
      <c r="Z17" s="540" t="str">
        <f>IFERROR(ACOAETME2021[[#This Row],[TOTAL Non-Truncated Unadjusted Expenses 
(A19+A21)]]/ACOAETME2021[[#This Row],[Member Months]], "NA")</f>
        <v>NA</v>
      </c>
      <c r="AA17" s="232" t="str">
        <f>IFERROR(ACOAETME2021[[#This Row],[TOTAL Truncated Unadjusted Expenses (A20+A21)]]/ACOAETME2021[[#This Row],[Member Months]], "NA")</f>
        <v>NA</v>
      </c>
      <c r="AB17" s="504">
        <f>IFERROR(ACOAETME2021[[#This Row],[Total Claims Excluded because of Truncation]]/ACOAETME2021[[#This Row],[Count of Members with Claims Truncated]],0)</f>
        <v>0</v>
      </c>
      <c r="AC17" s="508">
        <f>IFERROR(ACOAETME2021[[#This Row],[Total Claims Excluded because of Truncation]]/ACOAETME2021[[#This Row],[TOTAL Non-Truncated Unadjusted Claims Expenses]],0)</f>
        <v>0</v>
      </c>
    </row>
    <row r="18" spans="1:29" x14ac:dyDescent="0.35">
      <c r="A18" s="176"/>
      <c r="B18" s="175"/>
      <c r="C18" s="179"/>
      <c r="D18" s="180"/>
      <c r="E18" s="181"/>
      <c r="F18" s="181"/>
      <c r="G18" s="181"/>
      <c r="H18" s="181"/>
      <c r="I18" s="181"/>
      <c r="J18" s="181"/>
      <c r="K18" s="181"/>
      <c r="L18" s="181"/>
      <c r="M18" s="181"/>
      <c r="N18" s="181"/>
      <c r="O18" s="181"/>
      <c r="P18" s="181"/>
      <c r="Q18" s="181"/>
      <c r="R18" s="181"/>
      <c r="S18" s="181"/>
      <c r="T18" s="181"/>
      <c r="U18"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8" s="182">
        <f>ACOAETME2021[[#This Row],[TOTAL Non-Truncated Unadjusted Claims Expenses]]-ACOAETME2021[[#This Row],[Total Claims Excluded because of Truncation]]</f>
        <v>0</v>
      </c>
      <c r="W18"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8" s="182">
        <f>ACOAETME2021[[#This Row],[TOTAL Non-Truncated Unadjusted Claims Expenses]]+ACOAETME2021[[#This Row],[TOTAL Non-Claims Expenses]]</f>
        <v>0</v>
      </c>
      <c r="Y18" s="182">
        <f>ACOAETME2021[[#This Row],[TOTAL Truncated Unadjusted Claims Expenses (A19 - A17)]]+ACOAETME2021[[#This Row],[TOTAL Non-Claims Expenses]]</f>
        <v>0</v>
      </c>
      <c r="Z18" s="540" t="str">
        <f>IFERROR(ACOAETME2021[[#This Row],[TOTAL Non-Truncated Unadjusted Expenses 
(A19+A21)]]/ACOAETME2021[[#This Row],[Member Months]], "NA")</f>
        <v>NA</v>
      </c>
      <c r="AA18" s="232" t="str">
        <f>IFERROR(ACOAETME2021[[#This Row],[TOTAL Truncated Unadjusted Expenses (A20+A21)]]/ACOAETME2021[[#This Row],[Member Months]], "NA")</f>
        <v>NA</v>
      </c>
      <c r="AB18" s="504">
        <f>IFERROR(ACOAETME2021[[#This Row],[Total Claims Excluded because of Truncation]]/ACOAETME2021[[#This Row],[Count of Members with Claims Truncated]],0)</f>
        <v>0</v>
      </c>
      <c r="AC18" s="508">
        <f>IFERROR(ACOAETME2021[[#This Row],[Total Claims Excluded because of Truncation]]/ACOAETME2021[[#This Row],[TOTAL Non-Truncated Unadjusted Claims Expenses]],0)</f>
        <v>0</v>
      </c>
    </row>
    <row r="19" spans="1:29" x14ac:dyDescent="0.35">
      <c r="A19" s="176"/>
      <c r="B19" s="175"/>
      <c r="C19" s="179"/>
      <c r="D19" s="180"/>
      <c r="E19" s="181"/>
      <c r="F19" s="181"/>
      <c r="G19" s="181"/>
      <c r="H19" s="181"/>
      <c r="I19" s="181"/>
      <c r="J19" s="181"/>
      <c r="K19" s="181"/>
      <c r="L19" s="181"/>
      <c r="M19" s="181"/>
      <c r="N19" s="181"/>
      <c r="O19" s="181"/>
      <c r="P19" s="181"/>
      <c r="Q19" s="181"/>
      <c r="R19" s="181"/>
      <c r="S19" s="181"/>
      <c r="T19" s="181"/>
      <c r="U19"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9" s="182">
        <f>ACOAETME2021[[#This Row],[TOTAL Non-Truncated Unadjusted Claims Expenses]]-ACOAETME2021[[#This Row],[Total Claims Excluded because of Truncation]]</f>
        <v>0</v>
      </c>
      <c r="W19"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9" s="182">
        <f>ACOAETME2021[[#This Row],[TOTAL Non-Truncated Unadjusted Claims Expenses]]+ACOAETME2021[[#This Row],[TOTAL Non-Claims Expenses]]</f>
        <v>0</v>
      </c>
      <c r="Y19" s="182">
        <f>ACOAETME2021[[#This Row],[TOTAL Truncated Unadjusted Claims Expenses (A19 - A17)]]+ACOAETME2021[[#This Row],[TOTAL Non-Claims Expenses]]</f>
        <v>0</v>
      </c>
      <c r="Z19" s="540" t="str">
        <f>IFERROR(ACOAETME2021[[#This Row],[TOTAL Non-Truncated Unadjusted Expenses 
(A19+A21)]]/ACOAETME2021[[#This Row],[Member Months]], "NA")</f>
        <v>NA</v>
      </c>
      <c r="AA19" s="232" t="str">
        <f>IFERROR(ACOAETME2021[[#This Row],[TOTAL Truncated Unadjusted Expenses (A20+A21)]]/ACOAETME2021[[#This Row],[Member Months]], "NA")</f>
        <v>NA</v>
      </c>
      <c r="AB19" s="504">
        <f>IFERROR(ACOAETME2021[[#This Row],[Total Claims Excluded because of Truncation]]/ACOAETME2021[[#This Row],[Count of Members with Claims Truncated]],0)</f>
        <v>0</v>
      </c>
      <c r="AC19" s="508">
        <f>IFERROR(ACOAETME2021[[#This Row],[Total Claims Excluded because of Truncation]]/ACOAETME2021[[#This Row],[TOTAL Non-Truncated Unadjusted Claims Expenses]],0)</f>
        <v>0</v>
      </c>
    </row>
    <row r="20" spans="1:29" x14ac:dyDescent="0.35">
      <c r="A20" s="176"/>
      <c r="B20" s="175"/>
      <c r="C20" s="179"/>
      <c r="D20" s="180"/>
      <c r="E20" s="181"/>
      <c r="F20" s="181"/>
      <c r="G20" s="181"/>
      <c r="H20" s="181"/>
      <c r="I20" s="181"/>
      <c r="J20" s="181"/>
      <c r="K20" s="181"/>
      <c r="L20" s="181"/>
      <c r="M20" s="181"/>
      <c r="N20" s="181"/>
      <c r="O20" s="181"/>
      <c r="P20" s="181"/>
      <c r="Q20" s="181"/>
      <c r="R20" s="181"/>
      <c r="S20" s="181"/>
      <c r="T20" s="181"/>
      <c r="U20"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20" s="182">
        <f>ACOAETME2021[[#This Row],[TOTAL Non-Truncated Unadjusted Claims Expenses]]-ACOAETME2021[[#This Row],[Total Claims Excluded because of Truncation]]</f>
        <v>0</v>
      </c>
      <c r="W20"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20" s="182">
        <f>ACOAETME2021[[#This Row],[TOTAL Non-Truncated Unadjusted Claims Expenses]]+ACOAETME2021[[#This Row],[TOTAL Non-Claims Expenses]]</f>
        <v>0</v>
      </c>
      <c r="Y20" s="182">
        <f>ACOAETME2021[[#This Row],[TOTAL Truncated Unadjusted Claims Expenses (A19 - A17)]]+ACOAETME2021[[#This Row],[TOTAL Non-Claims Expenses]]</f>
        <v>0</v>
      </c>
      <c r="Z20" s="540" t="str">
        <f>IFERROR(ACOAETME2021[[#This Row],[TOTAL Non-Truncated Unadjusted Expenses 
(A19+A21)]]/ACOAETME2021[[#This Row],[Member Months]], "NA")</f>
        <v>NA</v>
      </c>
      <c r="AA20" s="232" t="str">
        <f>IFERROR(ACOAETME2021[[#This Row],[TOTAL Truncated Unadjusted Expenses (A20+A21)]]/ACOAETME2021[[#This Row],[Member Months]], "NA")</f>
        <v>NA</v>
      </c>
      <c r="AB20" s="504">
        <f>IFERROR(ACOAETME2021[[#This Row],[Total Claims Excluded because of Truncation]]/ACOAETME2021[[#This Row],[Count of Members with Claims Truncated]],0)</f>
        <v>0</v>
      </c>
      <c r="AC20" s="508">
        <f>IFERROR(ACOAETME2021[[#This Row],[Total Claims Excluded because of Truncation]]/ACOAETME2021[[#This Row],[TOTAL Non-Truncated Unadjusted Claims Expenses]],0)</f>
        <v>0</v>
      </c>
    </row>
    <row r="21" spans="1:29" x14ac:dyDescent="0.35">
      <c r="A21" s="520"/>
      <c r="B21" s="521"/>
      <c r="C21" s="522"/>
      <c r="D21" s="523"/>
      <c r="E21" s="524"/>
      <c r="F21" s="524"/>
      <c r="G21" s="524"/>
      <c r="H21" s="524"/>
      <c r="I21" s="524"/>
      <c r="J21" s="524"/>
      <c r="K21" s="524"/>
      <c r="L21" s="524"/>
      <c r="M21" s="524"/>
      <c r="N21" s="524"/>
      <c r="O21" s="524"/>
      <c r="P21" s="524"/>
      <c r="Q21" s="524"/>
      <c r="R21" s="524"/>
      <c r="S21" s="524"/>
      <c r="T21" s="524"/>
      <c r="U21"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21" s="182">
        <f>ACOAETME2021[[#This Row],[TOTAL Non-Truncated Unadjusted Claims Expenses]]-ACOAETME2021[[#This Row],[Total Claims Excluded because of Truncation]]</f>
        <v>0</v>
      </c>
      <c r="W21"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21" s="182">
        <f>ACOAETME2021[[#This Row],[TOTAL Non-Truncated Unadjusted Claims Expenses]]+ACOAETME2021[[#This Row],[TOTAL Non-Claims Expenses]]</f>
        <v>0</v>
      </c>
      <c r="Y21" s="182">
        <f>ACOAETME2021[[#This Row],[TOTAL Truncated Unadjusted Claims Expenses (A19 - A17)]]+ACOAETME2021[[#This Row],[TOTAL Non-Claims Expenses]]</f>
        <v>0</v>
      </c>
      <c r="Z21" s="540" t="str">
        <f>IFERROR(ACOAETME2021[[#This Row],[TOTAL Non-Truncated Unadjusted Expenses 
(A19+A21)]]/ACOAETME2021[[#This Row],[Member Months]], "NA")</f>
        <v>NA</v>
      </c>
      <c r="AA21" s="232" t="str">
        <f>IFERROR(ACOAETME2021[[#This Row],[TOTAL Truncated Unadjusted Expenses (A20+A21)]]/ACOAETME2021[[#This Row],[Member Months]], "NA")</f>
        <v>NA</v>
      </c>
      <c r="AB21" s="504">
        <f>IFERROR(ACOAETME2021[[#This Row],[Total Claims Excluded because of Truncation]]/ACOAETME2021[[#This Row],[Count of Members with Claims Truncated]],0)</f>
        <v>0</v>
      </c>
      <c r="AC21" s="508">
        <f>IFERROR(ACOAETME2021[[#This Row],[Total Claims Excluded because of Truncation]]/ACOAETME2021[[#This Row],[TOTAL Non-Truncated Unadjusted Claims Expenses]],0)</f>
        <v>0</v>
      </c>
    </row>
    <row r="22" spans="1:29" x14ac:dyDescent="0.35">
      <c r="A22" s="520"/>
      <c r="B22" s="521"/>
      <c r="C22" s="522"/>
      <c r="D22" s="523"/>
      <c r="E22" s="524"/>
      <c r="F22" s="524"/>
      <c r="G22" s="524"/>
      <c r="H22" s="524"/>
      <c r="I22" s="524"/>
      <c r="J22" s="524"/>
      <c r="K22" s="524"/>
      <c r="L22" s="524"/>
      <c r="M22" s="524"/>
      <c r="N22" s="524"/>
      <c r="O22" s="524"/>
      <c r="P22" s="524"/>
      <c r="Q22" s="524"/>
      <c r="R22" s="524"/>
      <c r="S22" s="524"/>
      <c r="T22" s="524"/>
      <c r="U22"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22" s="182">
        <f>ACOAETME2021[[#This Row],[TOTAL Non-Truncated Unadjusted Claims Expenses]]-ACOAETME2021[[#This Row],[Total Claims Excluded because of Truncation]]</f>
        <v>0</v>
      </c>
      <c r="W22"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22" s="182">
        <f>ACOAETME2021[[#This Row],[TOTAL Non-Truncated Unadjusted Claims Expenses]]+ACOAETME2021[[#This Row],[TOTAL Non-Claims Expenses]]</f>
        <v>0</v>
      </c>
      <c r="Y22" s="182">
        <f>ACOAETME2021[[#This Row],[TOTAL Truncated Unadjusted Claims Expenses (A19 - A17)]]+ACOAETME2021[[#This Row],[TOTAL Non-Claims Expenses]]</f>
        <v>0</v>
      </c>
      <c r="Z22" s="540" t="str">
        <f>IFERROR(ACOAETME2021[[#This Row],[TOTAL Non-Truncated Unadjusted Expenses 
(A19+A21)]]/ACOAETME2021[[#This Row],[Member Months]], "NA")</f>
        <v>NA</v>
      </c>
      <c r="AA22" s="232" t="str">
        <f>IFERROR(ACOAETME2021[[#This Row],[TOTAL Truncated Unadjusted Expenses (A20+A21)]]/ACOAETME2021[[#This Row],[Member Months]], "NA")</f>
        <v>NA</v>
      </c>
      <c r="AB22" s="504">
        <f>IFERROR(ACOAETME2021[[#This Row],[Total Claims Excluded because of Truncation]]/ACOAETME2021[[#This Row],[Count of Members with Claims Truncated]],0)</f>
        <v>0</v>
      </c>
      <c r="AC22" s="508">
        <f>IFERROR(ACOAETME2021[[#This Row],[Total Claims Excluded because of Truncation]]/ACOAETME2021[[#This Row],[TOTAL Non-Truncated Unadjusted Claims Expenses]],0)</f>
        <v>0</v>
      </c>
    </row>
    <row r="23" spans="1:29" x14ac:dyDescent="0.35">
      <c r="A23" s="176"/>
      <c r="B23" s="175"/>
      <c r="C23" s="179"/>
      <c r="D23" s="180"/>
      <c r="E23" s="181"/>
      <c r="F23" s="181"/>
      <c r="G23" s="181"/>
      <c r="H23" s="181"/>
      <c r="I23" s="181"/>
      <c r="J23" s="181"/>
      <c r="K23" s="181"/>
      <c r="L23" s="181"/>
      <c r="M23" s="181"/>
      <c r="N23" s="181"/>
      <c r="O23" s="181"/>
      <c r="P23" s="181"/>
      <c r="Q23" s="181"/>
      <c r="R23" s="181"/>
      <c r="S23" s="181"/>
      <c r="T23" s="446"/>
      <c r="U23"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23" s="182">
        <f>ACOAETME2021[[#This Row],[TOTAL Non-Truncated Unadjusted Claims Expenses]]-ACOAETME2021[[#This Row],[Total Claims Excluded because of Truncation]]</f>
        <v>0</v>
      </c>
      <c r="W23"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23" s="182">
        <f>ACOAETME2021[[#This Row],[TOTAL Non-Truncated Unadjusted Claims Expenses]]+ACOAETME2021[[#This Row],[TOTAL Non-Claims Expenses]]</f>
        <v>0</v>
      </c>
      <c r="Y23" s="182">
        <f>ACOAETME2021[[#This Row],[TOTAL Truncated Unadjusted Claims Expenses (A19 - A17)]]+ACOAETME2021[[#This Row],[TOTAL Non-Claims Expenses]]</f>
        <v>0</v>
      </c>
      <c r="Z23" s="540" t="str">
        <f>IFERROR(ACOAETME2021[[#This Row],[TOTAL Non-Truncated Unadjusted Expenses 
(A19+A21)]]/ACOAETME2021[[#This Row],[Member Months]], "NA")</f>
        <v>NA</v>
      </c>
      <c r="AA23" s="232" t="str">
        <f>IFERROR(ACOAETME2021[[#This Row],[TOTAL Truncated Unadjusted Expenses (A20+A21)]]/ACOAETME2021[[#This Row],[Member Months]], "NA")</f>
        <v>NA</v>
      </c>
      <c r="AB23" s="504">
        <f>IFERROR(ACOAETME2021[[#This Row],[Total Claims Excluded because of Truncation]]/ACOAETME2021[[#This Row],[Count of Members with Claims Truncated]],0)</f>
        <v>0</v>
      </c>
      <c r="AC23" s="508">
        <f>IFERROR(ACOAETME2021[[#This Row],[Total Claims Excluded because of Truncation]]/ACOAETME2021[[#This Row],[TOTAL Non-Truncated Unadjusted Claims Expenses]],0)</f>
        <v>0</v>
      </c>
    </row>
    <row r="24" spans="1:29" x14ac:dyDescent="0.35">
      <c r="A24" s="176"/>
      <c r="B24" s="175"/>
      <c r="C24" s="179"/>
      <c r="D24" s="180"/>
      <c r="E24" s="181"/>
      <c r="F24" s="181"/>
      <c r="G24" s="181"/>
      <c r="H24" s="181"/>
      <c r="I24" s="181"/>
      <c r="J24" s="181"/>
      <c r="K24" s="181"/>
      <c r="L24" s="181"/>
      <c r="M24" s="181"/>
      <c r="N24" s="181"/>
      <c r="O24" s="181"/>
      <c r="P24" s="181"/>
      <c r="Q24" s="181"/>
      <c r="R24" s="181"/>
      <c r="S24" s="181"/>
      <c r="T24" s="446"/>
      <c r="U24"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24" s="182">
        <f>ACOAETME2021[[#This Row],[TOTAL Non-Truncated Unadjusted Claims Expenses]]-ACOAETME2021[[#This Row],[Total Claims Excluded because of Truncation]]</f>
        <v>0</v>
      </c>
      <c r="W24"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24" s="182">
        <f>ACOAETME2021[[#This Row],[TOTAL Non-Truncated Unadjusted Claims Expenses]]+ACOAETME2021[[#This Row],[TOTAL Non-Claims Expenses]]</f>
        <v>0</v>
      </c>
      <c r="Y24" s="182">
        <f>ACOAETME2021[[#This Row],[TOTAL Truncated Unadjusted Claims Expenses (A19 - A17)]]+ACOAETME2021[[#This Row],[TOTAL Non-Claims Expenses]]</f>
        <v>0</v>
      </c>
      <c r="Z24" s="540" t="str">
        <f>IFERROR(ACOAETME2021[[#This Row],[TOTAL Non-Truncated Unadjusted Expenses 
(A19+A21)]]/ACOAETME2021[[#This Row],[Member Months]], "NA")</f>
        <v>NA</v>
      </c>
      <c r="AA24" s="232" t="str">
        <f>IFERROR(ACOAETME2021[[#This Row],[TOTAL Truncated Unadjusted Expenses (A20+A21)]]/ACOAETME2021[[#This Row],[Member Months]], "NA")</f>
        <v>NA</v>
      </c>
      <c r="AB24" s="504">
        <f>IFERROR(ACOAETME2021[[#This Row],[Total Claims Excluded because of Truncation]]/ACOAETME2021[[#This Row],[Count of Members with Claims Truncated]],0)</f>
        <v>0</v>
      </c>
      <c r="AC24" s="508">
        <f>IFERROR(ACOAETME2021[[#This Row],[Total Claims Excluded because of Truncation]]/ACOAETME2021[[#This Row],[TOTAL Non-Truncated Unadjusted Claims Expenses]],0)</f>
        <v>0</v>
      </c>
    </row>
    <row r="25" spans="1:29" x14ac:dyDescent="0.35">
      <c r="A25" s="176"/>
      <c r="B25" s="175"/>
      <c r="C25" s="179"/>
      <c r="D25" s="180"/>
      <c r="E25" s="181"/>
      <c r="F25" s="181"/>
      <c r="G25" s="181"/>
      <c r="H25" s="181"/>
      <c r="I25" s="181"/>
      <c r="J25" s="181"/>
      <c r="K25" s="181"/>
      <c r="L25" s="181"/>
      <c r="M25" s="181"/>
      <c r="N25" s="181"/>
      <c r="O25" s="181"/>
      <c r="P25" s="181"/>
      <c r="Q25" s="181"/>
      <c r="R25" s="181"/>
      <c r="S25" s="181"/>
      <c r="T25" s="446"/>
      <c r="U25"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25" s="182">
        <f>ACOAETME2021[[#This Row],[TOTAL Non-Truncated Unadjusted Claims Expenses]]-ACOAETME2021[[#This Row],[Total Claims Excluded because of Truncation]]</f>
        <v>0</v>
      </c>
      <c r="W25"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25" s="182">
        <f>ACOAETME2021[[#This Row],[TOTAL Non-Truncated Unadjusted Claims Expenses]]+ACOAETME2021[[#This Row],[TOTAL Non-Claims Expenses]]</f>
        <v>0</v>
      </c>
      <c r="Y25" s="182">
        <f>ACOAETME2021[[#This Row],[TOTAL Truncated Unadjusted Claims Expenses (A19 - A17)]]+ACOAETME2021[[#This Row],[TOTAL Non-Claims Expenses]]</f>
        <v>0</v>
      </c>
      <c r="Z25" s="540" t="str">
        <f>IFERROR(ACOAETME2021[[#This Row],[TOTAL Non-Truncated Unadjusted Expenses 
(A19+A21)]]/ACOAETME2021[[#This Row],[Member Months]], "NA")</f>
        <v>NA</v>
      </c>
      <c r="AA25" s="232" t="str">
        <f>IFERROR(ACOAETME2021[[#This Row],[TOTAL Truncated Unadjusted Expenses (A20+A21)]]/ACOAETME2021[[#This Row],[Member Months]], "NA")</f>
        <v>NA</v>
      </c>
      <c r="AB25" s="504">
        <f>IFERROR(ACOAETME2021[[#This Row],[Total Claims Excluded because of Truncation]]/ACOAETME2021[[#This Row],[Count of Members with Claims Truncated]],0)</f>
        <v>0</v>
      </c>
      <c r="AC25" s="508">
        <f>IFERROR(ACOAETME2021[[#This Row],[Total Claims Excluded because of Truncation]]/ACOAETME2021[[#This Row],[TOTAL Non-Truncated Unadjusted Claims Expenses]],0)</f>
        <v>0</v>
      </c>
    </row>
    <row r="26" spans="1:29" x14ac:dyDescent="0.35">
      <c r="A26" s="176"/>
      <c r="B26" s="175"/>
      <c r="C26" s="179"/>
      <c r="D26" s="180"/>
      <c r="E26" s="181"/>
      <c r="F26" s="181"/>
      <c r="G26" s="181"/>
      <c r="H26" s="181"/>
      <c r="I26" s="181"/>
      <c r="J26" s="181"/>
      <c r="K26" s="181"/>
      <c r="L26" s="181"/>
      <c r="M26" s="181"/>
      <c r="N26" s="181"/>
      <c r="O26" s="181"/>
      <c r="P26" s="181"/>
      <c r="Q26" s="181"/>
      <c r="R26" s="181"/>
      <c r="S26" s="181"/>
      <c r="T26" s="446"/>
      <c r="U26"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26" s="182">
        <f>ACOAETME2021[[#This Row],[TOTAL Non-Truncated Unadjusted Claims Expenses]]-ACOAETME2021[[#This Row],[Total Claims Excluded because of Truncation]]</f>
        <v>0</v>
      </c>
      <c r="W26"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26" s="182">
        <f>ACOAETME2021[[#This Row],[TOTAL Non-Truncated Unadjusted Claims Expenses]]+ACOAETME2021[[#This Row],[TOTAL Non-Claims Expenses]]</f>
        <v>0</v>
      </c>
      <c r="Y26" s="182">
        <f>ACOAETME2021[[#This Row],[TOTAL Truncated Unadjusted Claims Expenses (A19 - A17)]]+ACOAETME2021[[#This Row],[TOTAL Non-Claims Expenses]]</f>
        <v>0</v>
      </c>
      <c r="Z26" s="540" t="str">
        <f>IFERROR(ACOAETME2021[[#This Row],[TOTAL Non-Truncated Unadjusted Expenses 
(A19+A21)]]/ACOAETME2021[[#This Row],[Member Months]], "NA")</f>
        <v>NA</v>
      </c>
      <c r="AA26" s="232" t="str">
        <f>IFERROR(ACOAETME2021[[#This Row],[TOTAL Truncated Unadjusted Expenses (A20+A21)]]/ACOAETME2021[[#This Row],[Member Months]], "NA")</f>
        <v>NA</v>
      </c>
      <c r="AB26" s="504">
        <f>IFERROR(ACOAETME2021[[#This Row],[Total Claims Excluded because of Truncation]]/ACOAETME2021[[#This Row],[Count of Members with Claims Truncated]],0)</f>
        <v>0</v>
      </c>
      <c r="AC26" s="508">
        <f>IFERROR(ACOAETME2021[[#This Row],[Total Claims Excluded because of Truncation]]/ACOAETME2021[[#This Row],[TOTAL Non-Truncated Unadjusted Claims Expenses]],0)</f>
        <v>0</v>
      </c>
    </row>
    <row r="27" spans="1:29" x14ac:dyDescent="0.35">
      <c r="A27" s="176"/>
      <c r="B27" s="175"/>
      <c r="C27" s="179"/>
      <c r="D27" s="180"/>
      <c r="E27" s="181"/>
      <c r="F27" s="181"/>
      <c r="G27" s="181"/>
      <c r="H27" s="181"/>
      <c r="I27" s="181"/>
      <c r="J27" s="181"/>
      <c r="K27" s="181"/>
      <c r="L27" s="181"/>
      <c r="M27" s="181"/>
      <c r="N27" s="181"/>
      <c r="O27" s="181"/>
      <c r="P27" s="181"/>
      <c r="Q27" s="181"/>
      <c r="R27" s="181"/>
      <c r="S27" s="181"/>
      <c r="T27" s="446"/>
      <c r="U27"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27" s="182">
        <f>ACOAETME2021[[#This Row],[TOTAL Non-Truncated Unadjusted Claims Expenses]]-ACOAETME2021[[#This Row],[Total Claims Excluded because of Truncation]]</f>
        <v>0</v>
      </c>
      <c r="W27"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27" s="182">
        <f>ACOAETME2021[[#This Row],[TOTAL Non-Truncated Unadjusted Claims Expenses]]+ACOAETME2021[[#This Row],[TOTAL Non-Claims Expenses]]</f>
        <v>0</v>
      </c>
      <c r="Y27" s="182">
        <f>ACOAETME2021[[#This Row],[TOTAL Truncated Unadjusted Claims Expenses (A19 - A17)]]+ACOAETME2021[[#This Row],[TOTAL Non-Claims Expenses]]</f>
        <v>0</v>
      </c>
      <c r="Z27" s="540" t="str">
        <f>IFERROR(ACOAETME2021[[#This Row],[TOTAL Non-Truncated Unadjusted Expenses 
(A19+A21)]]/ACOAETME2021[[#This Row],[Member Months]], "NA")</f>
        <v>NA</v>
      </c>
      <c r="AA27" s="232" t="str">
        <f>IFERROR(ACOAETME2021[[#This Row],[TOTAL Truncated Unadjusted Expenses (A20+A21)]]/ACOAETME2021[[#This Row],[Member Months]], "NA")</f>
        <v>NA</v>
      </c>
      <c r="AB27" s="504">
        <f>IFERROR(ACOAETME2021[[#This Row],[Total Claims Excluded because of Truncation]]/ACOAETME2021[[#This Row],[Count of Members with Claims Truncated]],0)</f>
        <v>0</v>
      </c>
      <c r="AC27" s="508">
        <f>IFERROR(ACOAETME2021[[#This Row],[Total Claims Excluded because of Truncation]]/ACOAETME2021[[#This Row],[TOTAL Non-Truncated Unadjusted Claims Expenses]],0)</f>
        <v>0</v>
      </c>
    </row>
    <row r="28" spans="1:29" x14ac:dyDescent="0.35">
      <c r="A28" s="176"/>
      <c r="B28" s="175"/>
      <c r="C28" s="179"/>
      <c r="D28" s="180"/>
      <c r="E28" s="181"/>
      <c r="F28" s="181"/>
      <c r="G28" s="181"/>
      <c r="H28" s="181"/>
      <c r="I28" s="181"/>
      <c r="J28" s="181"/>
      <c r="K28" s="181"/>
      <c r="L28" s="181"/>
      <c r="M28" s="181"/>
      <c r="N28" s="181"/>
      <c r="O28" s="181"/>
      <c r="P28" s="181"/>
      <c r="Q28" s="181"/>
      <c r="R28" s="181"/>
      <c r="S28" s="181"/>
      <c r="T28" s="446"/>
      <c r="U28"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28" s="182">
        <f>ACOAETME2021[[#This Row],[TOTAL Non-Truncated Unadjusted Claims Expenses]]-ACOAETME2021[[#This Row],[Total Claims Excluded because of Truncation]]</f>
        <v>0</v>
      </c>
      <c r="W28"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28" s="182">
        <f>ACOAETME2021[[#This Row],[TOTAL Non-Truncated Unadjusted Claims Expenses]]+ACOAETME2021[[#This Row],[TOTAL Non-Claims Expenses]]</f>
        <v>0</v>
      </c>
      <c r="Y28" s="182">
        <f>ACOAETME2021[[#This Row],[TOTAL Truncated Unadjusted Claims Expenses (A19 - A17)]]+ACOAETME2021[[#This Row],[TOTAL Non-Claims Expenses]]</f>
        <v>0</v>
      </c>
      <c r="Z28" s="540" t="str">
        <f>IFERROR(ACOAETME2021[[#This Row],[TOTAL Non-Truncated Unadjusted Expenses 
(A19+A21)]]/ACOAETME2021[[#This Row],[Member Months]], "NA")</f>
        <v>NA</v>
      </c>
      <c r="AA28" s="232" t="str">
        <f>IFERROR(ACOAETME2021[[#This Row],[TOTAL Truncated Unadjusted Expenses (A20+A21)]]/ACOAETME2021[[#This Row],[Member Months]], "NA")</f>
        <v>NA</v>
      </c>
      <c r="AB28" s="504">
        <f>IFERROR(ACOAETME2021[[#This Row],[Total Claims Excluded because of Truncation]]/ACOAETME2021[[#This Row],[Count of Members with Claims Truncated]],0)</f>
        <v>0</v>
      </c>
      <c r="AC28" s="508">
        <f>IFERROR(ACOAETME2021[[#This Row],[Total Claims Excluded because of Truncation]]/ACOAETME2021[[#This Row],[TOTAL Non-Truncated Unadjusted Claims Expenses]],0)</f>
        <v>0</v>
      </c>
    </row>
    <row r="29" spans="1:29" x14ac:dyDescent="0.35">
      <c r="A29" s="176"/>
      <c r="B29" s="175"/>
      <c r="C29" s="179"/>
      <c r="D29" s="180"/>
      <c r="E29" s="181"/>
      <c r="F29" s="181"/>
      <c r="G29" s="181"/>
      <c r="H29" s="181"/>
      <c r="I29" s="181"/>
      <c r="J29" s="181"/>
      <c r="K29" s="181"/>
      <c r="L29" s="181"/>
      <c r="M29" s="181"/>
      <c r="N29" s="181"/>
      <c r="O29" s="181"/>
      <c r="P29" s="181"/>
      <c r="Q29" s="181"/>
      <c r="R29" s="181"/>
      <c r="S29" s="181"/>
      <c r="T29" s="446"/>
      <c r="U29"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29" s="182">
        <f>ACOAETME2021[[#This Row],[TOTAL Non-Truncated Unadjusted Claims Expenses]]-ACOAETME2021[[#This Row],[Total Claims Excluded because of Truncation]]</f>
        <v>0</v>
      </c>
      <c r="W29"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29" s="182">
        <f>ACOAETME2021[[#This Row],[TOTAL Non-Truncated Unadjusted Claims Expenses]]+ACOAETME2021[[#This Row],[TOTAL Non-Claims Expenses]]</f>
        <v>0</v>
      </c>
      <c r="Y29" s="182">
        <f>ACOAETME2021[[#This Row],[TOTAL Truncated Unadjusted Claims Expenses (A19 - A17)]]+ACOAETME2021[[#This Row],[TOTAL Non-Claims Expenses]]</f>
        <v>0</v>
      </c>
      <c r="Z29" s="540" t="str">
        <f>IFERROR(ACOAETME2021[[#This Row],[TOTAL Non-Truncated Unadjusted Expenses 
(A19+A21)]]/ACOAETME2021[[#This Row],[Member Months]], "NA")</f>
        <v>NA</v>
      </c>
      <c r="AA29" s="232" t="str">
        <f>IFERROR(ACOAETME2021[[#This Row],[TOTAL Truncated Unadjusted Expenses (A20+A21)]]/ACOAETME2021[[#This Row],[Member Months]], "NA")</f>
        <v>NA</v>
      </c>
      <c r="AB29" s="504">
        <f>IFERROR(ACOAETME2021[[#This Row],[Total Claims Excluded because of Truncation]]/ACOAETME2021[[#This Row],[Count of Members with Claims Truncated]],0)</f>
        <v>0</v>
      </c>
      <c r="AC29" s="508">
        <f>IFERROR(ACOAETME2021[[#This Row],[Total Claims Excluded because of Truncation]]/ACOAETME2021[[#This Row],[TOTAL Non-Truncated Unadjusted Claims Expenses]],0)</f>
        <v>0</v>
      </c>
    </row>
    <row r="30" spans="1:29" x14ac:dyDescent="0.35">
      <c r="A30" s="176"/>
      <c r="B30" s="175"/>
      <c r="C30" s="179"/>
      <c r="D30" s="180"/>
      <c r="E30" s="181"/>
      <c r="F30" s="181"/>
      <c r="G30" s="181"/>
      <c r="H30" s="181"/>
      <c r="I30" s="181"/>
      <c r="J30" s="181"/>
      <c r="K30" s="181"/>
      <c r="L30" s="181"/>
      <c r="M30" s="181"/>
      <c r="N30" s="181"/>
      <c r="O30" s="181"/>
      <c r="P30" s="181"/>
      <c r="Q30" s="181"/>
      <c r="R30" s="181"/>
      <c r="S30" s="181"/>
      <c r="T30" s="446"/>
      <c r="U30"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30" s="182">
        <f>ACOAETME2021[[#This Row],[TOTAL Non-Truncated Unadjusted Claims Expenses]]-ACOAETME2021[[#This Row],[Total Claims Excluded because of Truncation]]</f>
        <v>0</v>
      </c>
      <c r="W30"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30" s="182">
        <f>ACOAETME2021[[#This Row],[TOTAL Non-Truncated Unadjusted Claims Expenses]]+ACOAETME2021[[#This Row],[TOTAL Non-Claims Expenses]]</f>
        <v>0</v>
      </c>
      <c r="Y30" s="182">
        <f>ACOAETME2021[[#This Row],[TOTAL Truncated Unadjusted Claims Expenses (A19 - A17)]]+ACOAETME2021[[#This Row],[TOTAL Non-Claims Expenses]]</f>
        <v>0</v>
      </c>
      <c r="Z30" s="540" t="str">
        <f>IFERROR(ACOAETME2021[[#This Row],[TOTAL Non-Truncated Unadjusted Expenses 
(A19+A21)]]/ACOAETME2021[[#This Row],[Member Months]], "NA")</f>
        <v>NA</v>
      </c>
      <c r="AA30" s="232" t="str">
        <f>IFERROR(ACOAETME2021[[#This Row],[TOTAL Truncated Unadjusted Expenses (A20+A21)]]/ACOAETME2021[[#This Row],[Member Months]], "NA")</f>
        <v>NA</v>
      </c>
      <c r="AB30" s="504">
        <f>IFERROR(ACOAETME2021[[#This Row],[Total Claims Excluded because of Truncation]]/ACOAETME2021[[#This Row],[Count of Members with Claims Truncated]],0)</f>
        <v>0</v>
      </c>
      <c r="AC30" s="508">
        <f>IFERROR(ACOAETME2021[[#This Row],[Total Claims Excluded because of Truncation]]/ACOAETME2021[[#This Row],[TOTAL Non-Truncated Unadjusted Claims Expenses]],0)</f>
        <v>0</v>
      </c>
    </row>
    <row r="31" spans="1:29" x14ac:dyDescent="0.35">
      <c r="A31" s="176"/>
      <c r="B31" s="175"/>
      <c r="C31" s="179"/>
      <c r="D31" s="180"/>
      <c r="E31" s="181"/>
      <c r="F31" s="181"/>
      <c r="G31" s="181"/>
      <c r="H31" s="181"/>
      <c r="I31" s="181"/>
      <c r="J31" s="181"/>
      <c r="K31" s="181"/>
      <c r="L31" s="181"/>
      <c r="M31" s="181"/>
      <c r="N31" s="181"/>
      <c r="O31" s="181"/>
      <c r="P31" s="181"/>
      <c r="Q31" s="181"/>
      <c r="R31" s="181"/>
      <c r="S31" s="9"/>
      <c r="T31" s="444"/>
      <c r="U31"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31" s="182">
        <f>ACOAETME2021[[#This Row],[TOTAL Non-Truncated Unadjusted Claims Expenses]]-ACOAETME2021[[#This Row],[Total Claims Excluded because of Truncation]]</f>
        <v>0</v>
      </c>
      <c r="W31"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31" s="182">
        <f>ACOAETME2021[[#This Row],[TOTAL Non-Truncated Unadjusted Claims Expenses]]+ACOAETME2021[[#This Row],[TOTAL Non-Claims Expenses]]</f>
        <v>0</v>
      </c>
      <c r="Y31" s="182">
        <f>ACOAETME2021[[#This Row],[TOTAL Truncated Unadjusted Claims Expenses (A19 - A17)]]+ACOAETME2021[[#This Row],[TOTAL Non-Claims Expenses]]</f>
        <v>0</v>
      </c>
      <c r="Z31" s="540" t="str">
        <f>IFERROR(ACOAETME2021[[#This Row],[TOTAL Non-Truncated Unadjusted Expenses 
(A19+A21)]]/ACOAETME2021[[#This Row],[Member Months]], "NA")</f>
        <v>NA</v>
      </c>
      <c r="AA31" s="232" t="str">
        <f>IFERROR(ACOAETME2021[[#This Row],[TOTAL Truncated Unadjusted Expenses (A20+A21)]]/ACOAETME2021[[#This Row],[Member Months]], "NA")</f>
        <v>NA</v>
      </c>
      <c r="AB31" s="504">
        <f>IFERROR(ACOAETME2021[[#This Row],[Total Claims Excluded because of Truncation]]/ACOAETME2021[[#This Row],[Count of Members with Claims Truncated]],0)</f>
        <v>0</v>
      </c>
      <c r="AC31" s="508">
        <f>IFERROR(ACOAETME2021[[#This Row],[Total Claims Excluded because of Truncation]]/ACOAETME2021[[#This Row],[TOTAL Non-Truncated Unadjusted Claims Expenses]],0)</f>
        <v>0</v>
      </c>
    </row>
    <row r="32" spans="1:29" x14ac:dyDescent="0.35">
      <c r="A32" s="176"/>
      <c r="B32" s="175"/>
      <c r="C32" s="439"/>
      <c r="D32" s="440"/>
      <c r="E32" s="8"/>
      <c r="F32" s="8"/>
      <c r="G32" s="8"/>
      <c r="H32" s="8"/>
      <c r="I32" s="8"/>
      <c r="J32" s="8"/>
      <c r="K32" s="451"/>
      <c r="L32" s="8"/>
      <c r="M32" s="8"/>
      <c r="N32" s="181"/>
      <c r="O32" s="181"/>
      <c r="P32" s="181"/>
      <c r="Q32" s="181"/>
      <c r="R32" s="181"/>
      <c r="S32" s="181"/>
      <c r="T32" s="445"/>
      <c r="U32"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32" s="182">
        <f>ACOAETME2021[[#This Row],[TOTAL Non-Truncated Unadjusted Claims Expenses]]-ACOAETME2021[[#This Row],[Total Claims Excluded because of Truncation]]</f>
        <v>0</v>
      </c>
      <c r="W32"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32" s="182">
        <f>ACOAETME2021[[#This Row],[TOTAL Non-Truncated Unadjusted Claims Expenses]]+ACOAETME2021[[#This Row],[TOTAL Non-Claims Expenses]]</f>
        <v>0</v>
      </c>
      <c r="Y32" s="182">
        <f>ACOAETME2021[[#This Row],[TOTAL Truncated Unadjusted Claims Expenses (A19 - A17)]]+ACOAETME2021[[#This Row],[TOTAL Non-Claims Expenses]]</f>
        <v>0</v>
      </c>
      <c r="Z32" s="540" t="str">
        <f>IFERROR(ACOAETME2021[[#This Row],[TOTAL Non-Truncated Unadjusted Expenses 
(A19+A21)]]/ACOAETME2021[[#This Row],[Member Months]], "NA")</f>
        <v>NA</v>
      </c>
      <c r="AA32" s="232" t="str">
        <f>IFERROR(ACOAETME2021[[#This Row],[TOTAL Truncated Unadjusted Expenses (A20+A21)]]/ACOAETME2021[[#This Row],[Member Months]], "NA")</f>
        <v>NA</v>
      </c>
      <c r="AB32" s="504">
        <f>IFERROR(ACOAETME2021[[#This Row],[Total Claims Excluded because of Truncation]]/ACOAETME2021[[#This Row],[Count of Members with Claims Truncated]],0)</f>
        <v>0</v>
      </c>
      <c r="AC32" s="508">
        <f>IFERROR(ACOAETME2021[[#This Row],[Total Claims Excluded because of Truncation]]/ACOAETME2021[[#This Row],[TOTAL Non-Truncated Unadjusted Claims Expenses]],0)</f>
        <v>0</v>
      </c>
    </row>
    <row r="33" spans="1:29" x14ac:dyDescent="0.35">
      <c r="A33" s="176"/>
      <c r="B33" s="175"/>
      <c r="C33" s="439"/>
      <c r="D33" s="440"/>
      <c r="E33" s="8"/>
      <c r="F33" s="8"/>
      <c r="G33" s="8"/>
      <c r="H33" s="8"/>
      <c r="I33" s="8"/>
      <c r="J33" s="8"/>
      <c r="K33" s="451"/>
      <c r="L33" s="8"/>
      <c r="M33" s="8"/>
      <c r="N33" s="181"/>
      <c r="O33" s="181"/>
      <c r="P33" s="181"/>
      <c r="Q33" s="181"/>
      <c r="R33" s="181"/>
      <c r="S33" s="181"/>
      <c r="T33" s="444"/>
      <c r="U33"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33" s="182">
        <f>ACOAETME2021[[#This Row],[TOTAL Non-Truncated Unadjusted Claims Expenses]]-ACOAETME2021[[#This Row],[Total Claims Excluded because of Truncation]]</f>
        <v>0</v>
      </c>
      <c r="W33"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33" s="182">
        <f>ACOAETME2021[[#This Row],[TOTAL Non-Truncated Unadjusted Claims Expenses]]+ACOAETME2021[[#This Row],[TOTAL Non-Claims Expenses]]</f>
        <v>0</v>
      </c>
      <c r="Y33" s="182">
        <f>ACOAETME2021[[#This Row],[TOTAL Truncated Unadjusted Claims Expenses (A19 - A17)]]+ACOAETME2021[[#This Row],[TOTAL Non-Claims Expenses]]</f>
        <v>0</v>
      </c>
      <c r="Z33" s="540" t="str">
        <f>IFERROR(ACOAETME2021[[#This Row],[TOTAL Non-Truncated Unadjusted Expenses 
(A19+A21)]]/ACOAETME2021[[#This Row],[Member Months]], "NA")</f>
        <v>NA</v>
      </c>
      <c r="AA33" s="232" t="str">
        <f>IFERROR(ACOAETME2021[[#This Row],[TOTAL Truncated Unadjusted Expenses (A20+A21)]]/ACOAETME2021[[#This Row],[Member Months]], "NA")</f>
        <v>NA</v>
      </c>
      <c r="AB33" s="504">
        <f>IFERROR(ACOAETME2021[[#This Row],[Total Claims Excluded because of Truncation]]/ACOAETME2021[[#This Row],[Count of Members with Claims Truncated]],0)</f>
        <v>0</v>
      </c>
      <c r="AC33" s="508">
        <f>IFERROR(ACOAETME2021[[#This Row],[Total Claims Excluded because of Truncation]]/ACOAETME2021[[#This Row],[TOTAL Non-Truncated Unadjusted Claims Expenses]],0)</f>
        <v>0</v>
      </c>
    </row>
    <row r="34" spans="1:29" x14ac:dyDescent="0.35">
      <c r="A34" s="176"/>
      <c r="B34" s="175"/>
      <c r="C34" s="439"/>
      <c r="D34" s="440"/>
      <c r="E34" s="8"/>
      <c r="F34" s="8"/>
      <c r="G34" s="8"/>
      <c r="H34" s="8"/>
      <c r="I34" s="8"/>
      <c r="J34" s="8"/>
      <c r="K34" s="451"/>
      <c r="L34" s="8"/>
      <c r="M34" s="8"/>
      <c r="N34" s="181"/>
      <c r="O34" s="181"/>
      <c r="P34" s="181"/>
      <c r="Q34" s="181"/>
      <c r="R34" s="181"/>
      <c r="S34" s="181"/>
      <c r="T34" s="445"/>
      <c r="U34"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34" s="182">
        <f>ACOAETME2021[[#This Row],[TOTAL Non-Truncated Unadjusted Claims Expenses]]-ACOAETME2021[[#This Row],[Total Claims Excluded because of Truncation]]</f>
        <v>0</v>
      </c>
      <c r="W34"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34" s="182">
        <f>ACOAETME2021[[#This Row],[TOTAL Non-Truncated Unadjusted Claims Expenses]]+ACOAETME2021[[#This Row],[TOTAL Non-Claims Expenses]]</f>
        <v>0</v>
      </c>
      <c r="Y34" s="182">
        <f>ACOAETME2021[[#This Row],[TOTAL Truncated Unadjusted Claims Expenses (A19 - A17)]]+ACOAETME2021[[#This Row],[TOTAL Non-Claims Expenses]]</f>
        <v>0</v>
      </c>
      <c r="Z34" s="540" t="str">
        <f>IFERROR(ACOAETME2021[[#This Row],[TOTAL Non-Truncated Unadjusted Expenses 
(A19+A21)]]/ACOAETME2021[[#This Row],[Member Months]], "NA")</f>
        <v>NA</v>
      </c>
      <c r="AA34" s="232" t="str">
        <f>IFERROR(ACOAETME2021[[#This Row],[TOTAL Truncated Unadjusted Expenses (A20+A21)]]/ACOAETME2021[[#This Row],[Member Months]], "NA")</f>
        <v>NA</v>
      </c>
      <c r="AB34" s="504">
        <f>IFERROR(ACOAETME2021[[#This Row],[Total Claims Excluded because of Truncation]]/ACOAETME2021[[#This Row],[Count of Members with Claims Truncated]],0)</f>
        <v>0</v>
      </c>
      <c r="AC34" s="508">
        <f>IFERROR(ACOAETME2021[[#This Row],[Total Claims Excluded because of Truncation]]/ACOAETME2021[[#This Row],[TOTAL Non-Truncated Unadjusted Claims Expenses]],0)</f>
        <v>0</v>
      </c>
    </row>
    <row r="35" spans="1:29" x14ac:dyDescent="0.35">
      <c r="A35" s="176"/>
      <c r="B35" s="175"/>
      <c r="C35" s="439"/>
      <c r="D35" s="440"/>
      <c r="E35" s="8"/>
      <c r="F35" s="8"/>
      <c r="G35" s="8"/>
      <c r="H35" s="8"/>
      <c r="I35" s="8"/>
      <c r="J35" s="8"/>
      <c r="K35" s="451"/>
      <c r="L35" s="8"/>
      <c r="M35" s="8"/>
      <c r="N35" s="181"/>
      <c r="O35" s="181"/>
      <c r="P35" s="181"/>
      <c r="Q35" s="181"/>
      <c r="R35" s="181"/>
      <c r="S35" s="181"/>
      <c r="T35" s="444"/>
      <c r="U35"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35" s="182">
        <f>ACOAETME2021[[#This Row],[TOTAL Non-Truncated Unadjusted Claims Expenses]]-ACOAETME2021[[#This Row],[Total Claims Excluded because of Truncation]]</f>
        <v>0</v>
      </c>
      <c r="W35"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35" s="182">
        <f>ACOAETME2021[[#This Row],[TOTAL Non-Truncated Unadjusted Claims Expenses]]+ACOAETME2021[[#This Row],[TOTAL Non-Claims Expenses]]</f>
        <v>0</v>
      </c>
      <c r="Y35" s="182">
        <f>ACOAETME2021[[#This Row],[TOTAL Truncated Unadjusted Claims Expenses (A19 - A17)]]+ACOAETME2021[[#This Row],[TOTAL Non-Claims Expenses]]</f>
        <v>0</v>
      </c>
      <c r="Z35" s="540" t="str">
        <f>IFERROR(ACOAETME2021[[#This Row],[TOTAL Non-Truncated Unadjusted Expenses 
(A19+A21)]]/ACOAETME2021[[#This Row],[Member Months]], "NA")</f>
        <v>NA</v>
      </c>
      <c r="AA35" s="232" t="str">
        <f>IFERROR(ACOAETME2021[[#This Row],[TOTAL Truncated Unadjusted Expenses (A20+A21)]]/ACOAETME2021[[#This Row],[Member Months]], "NA")</f>
        <v>NA</v>
      </c>
      <c r="AB35" s="504">
        <f>IFERROR(ACOAETME2021[[#This Row],[Total Claims Excluded because of Truncation]]/ACOAETME2021[[#This Row],[Count of Members with Claims Truncated]],0)</f>
        <v>0</v>
      </c>
      <c r="AC35" s="508">
        <f>IFERROR(ACOAETME2021[[#This Row],[Total Claims Excluded because of Truncation]]/ACOAETME2021[[#This Row],[TOTAL Non-Truncated Unadjusted Claims Expenses]],0)</f>
        <v>0</v>
      </c>
    </row>
    <row r="36" spans="1:29" x14ac:dyDescent="0.35">
      <c r="A36" s="176"/>
      <c r="B36" s="175"/>
      <c r="C36" s="439"/>
      <c r="D36" s="440"/>
      <c r="E36" s="8"/>
      <c r="F36" s="8"/>
      <c r="G36" s="8"/>
      <c r="H36" s="8"/>
      <c r="I36" s="8"/>
      <c r="J36" s="8"/>
      <c r="K36" s="451"/>
      <c r="L36" s="8"/>
      <c r="M36" s="8"/>
      <c r="N36" s="181"/>
      <c r="O36" s="181"/>
      <c r="P36" s="181"/>
      <c r="Q36" s="181"/>
      <c r="R36" s="181"/>
      <c r="S36" s="181"/>
      <c r="T36" s="445"/>
      <c r="U36"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36" s="182">
        <f>ACOAETME2021[[#This Row],[TOTAL Non-Truncated Unadjusted Claims Expenses]]-ACOAETME2021[[#This Row],[Total Claims Excluded because of Truncation]]</f>
        <v>0</v>
      </c>
      <c r="W36"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36" s="182">
        <f>ACOAETME2021[[#This Row],[TOTAL Non-Truncated Unadjusted Claims Expenses]]+ACOAETME2021[[#This Row],[TOTAL Non-Claims Expenses]]</f>
        <v>0</v>
      </c>
      <c r="Y36" s="182">
        <f>ACOAETME2021[[#This Row],[TOTAL Truncated Unadjusted Claims Expenses (A19 - A17)]]+ACOAETME2021[[#This Row],[TOTAL Non-Claims Expenses]]</f>
        <v>0</v>
      </c>
      <c r="Z36" s="540" t="str">
        <f>IFERROR(ACOAETME2021[[#This Row],[TOTAL Non-Truncated Unadjusted Expenses 
(A19+A21)]]/ACOAETME2021[[#This Row],[Member Months]], "NA")</f>
        <v>NA</v>
      </c>
      <c r="AA36" s="232" t="str">
        <f>IFERROR(ACOAETME2021[[#This Row],[TOTAL Truncated Unadjusted Expenses (A20+A21)]]/ACOAETME2021[[#This Row],[Member Months]], "NA")</f>
        <v>NA</v>
      </c>
      <c r="AB36" s="504">
        <f>IFERROR(ACOAETME2021[[#This Row],[Total Claims Excluded because of Truncation]]/ACOAETME2021[[#This Row],[Count of Members with Claims Truncated]],0)</f>
        <v>0</v>
      </c>
      <c r="AC36" s="508">
        <f>IFERROR(ACOAETME2021[[#This Row],[Total Claims Excluded because of Truncation]]/ACOAETME2021[[#This Row],[TOTAL Non-Truncated Unadjusted Claims Expenses]],0)</f>
        <v>0</v>
      </c>
    </row>
    <row r="37" spans="1:29" x14ac:dyDescent="0.35">
      <c r="A37" s="176"/>
      <c r="B37" s="175"/>
      <c r="C37" s="439"/>
      <c r="D37" s="440"/>
      <c r="E37" s="8"/>
      <c r="F37" s="8"/>
      <c r="G37" s="8"/>
      <c r="H37" s="8"/>
      <c r="I37" s="8"/>
      <c r="J37" s="8"/>
      <c r="K37" s="451"/>
      <c r="L37" s="8"/>
      <c r="M37" s="8"/>
      <c r="N37" s="181"/>
      <c r="O37" s="181"/>
      <c r="P37" s="181"/>
      <c r="Q37" s="181"/>
      <c r="R37" s="181"/>
      <c r="S37" s="181"/>
      <c r="T37" s="444"/>
      <c r="U37"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37" s="182">
        <f>ACOAETME2021[[#This Row],[TOTAL Non-Truncated Unadjusted Claims Expenses]]-ACOAETME2021[[#This Row],[Total Claims Excluded because of Truncation]]</f>
        <v>0</v>
      </c>
      <c r="W37"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37" s="182">
        <f>ACOAETME2021[[#This Row],[TOTAL Non-Truncated Unadjusted Claims Expenses]]+ACOAETME2021[[#This Row],[TOTAL Non-Claims Expenses]]</f>
        <v>0</v>
      </c>
      <c r="Y37" s="182">
        <f>ACOAETME2021[[#This Row],[TOTAL Truncated Unadjusted Claims Expenses (A19 - A17)]]+ACOAETME2021[[#This Row],[TOTAL Non-Claims Expenses]]</f>
        <v>0</v>
      </c>
      <c r="Z37" s="540" t="str">
        <f>IFERROR(ACOAETME2021[[#This Row],[TOTAL Non-Truncated Unadjusted Expenses 
(A19+A21)]]/ACOAETME2021[[#This Row],[Member Months]], "NA")</f>
        <v>NA</v>
      </c>
      <c r="AA37" s="232" t="str">
        <f>IFERROR(ACOAETME2021[[#This Row],[TOTAL Truncated Unadjusted Expenses (A20+A21)]]/ACOAETME2021[[#This Row],[Member Months]], "NA")</f>
        <v>NA</v>
      </c>
      <c r="AB37" s="504">
        <f>IFERROR(ACOAETME2021[[#This Row],[Total Claims Excluded because of Truncation]]/ACOAETME2021[[#This Row],[Count of Members with Claims Truncated]],0)</f>
        <v>0</v>
      </c>
      <c r="AC37" s="508">
        <f>IFERROR(ACOAETME2021[[#This Row],[Total Claims Excluded because of Truncation]]/ACOAETME2021[[#This Row],[TOTAL Non-Truncated Unadjusted Claims Expenses]],0)</f>
        <v>0</v>
      </c>
    </row>
    <row r="38" spans="1:29" x14ac:dyDescent="0.35">
      <c r="A38" s="176"/>
      <c r="B38" s="175"/>
      <c r="C38" s="439"/>
      <c r="D38" s="440"/>
      <c r="E38" s="8"/>
      <c r="F38" s="8"/>
      <c r="G38" s="8"/>
      <c r="H38" s="8"/>
      <c r="I38" s="8"/>
      <c r="J38" s="8"/>
      <c r="K38" s="451"/>
      <c r="L38" s="8"/>
      <c r="M38" s="8"/>
      <c r="N38" s="181"/>
      <c r="O38" s="181"/>
      <c r="P38" s="181"/>
      <c r="Q38" s="181"/>
      <c r="R38" s="181"/>
      <c r="S38" s="181"/>
      <c r="T38" s="445"/>
      <c r="U38"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38" s="182">
        <f>ACOAETME2021[[#This Row],[TOTAL Non-Truncated Unadjusted Claims Expenses]]-ACOAETME2021[[#This Row],[Total Claims Excluded because of Truncation]]</f>
        <v>0</v>
      </c>
      <c r="W38"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38" s="182">
        <f>ACOAETME2021[[#This Row],[TOTAL Non-Truncated Unadjusted Claims Expenses]]+ACOAETME2021[[#This Row],[TOTAL Non-Claims Expenses]]</f>
        <v>0</v>
      </c>
      <c r="Y38" s="182">
        <f>ACOAETME2021[[#This Row],[TOTAL Truncated Unadjusted Claims Expenses (A19 - A17)]]+ACOAETME2021[[#This Row],[TOTAL Non-Claims Expenses]]</f>
        <v>0</v>
      </c>
      <c r="Z38" s="540" t="str">
        <f>IFERROR(ACOAETME2021[[#This Row],[TOTAL Non-Truncated Unadjusted Expenses 
(A19+A21)]]/ACOAETME2021[[#This Row],[Member Months]], "NA")</f>
        <v>NA</v>
      </c>
      <c r="AA38" s="232" t="str">
        <f>IFERROR(ACOAETME2021[[#This Row],[TOTAL Truncated Unadjusted Expenses (A20+A21)]]/ACOAETME2021[[#This Row],[Member Months]], "NA")</f>
        <v>NA</v>
      </c>
      <c r="AB38" s="504">
        <f>IFERROR(ACOAETME2021[[#This Row],[Total Claims Excluded because of Truncation]]/ACOAETME2021[[#This Row],[Count of Members with Claims Truncated]],0)</f>
        <v>0</v>
      </c>
      <c r="AC38" s="508">
        <f>IFERROR(ACOAETME2021[[#This Row],[Total Claims Excluded because of Truncation]]/ACOAETME2021[[#This Row],[TOTAL Non-Truncated Unadjusted Claims Expenses]],0)</f>
        <v>0</v>
      </c>
    </row>
    <row r="39" spans="1:29" x14ac:dyDescent="0.35">
      <c r="A39" s="176"/>
      <c r="B39" s="175"/>
      <c r="C39" s="439"/>
      <c r="D39" s="440"/>
      <c r="E39" s="8"/>
      <c r="F39" s="8"/>
      <c r="G39" s="8"/>
      <c r="H39" s="8"/>
      <c r="I39" s="8"/>
      <c r="J39" s="8"/>
      <c r="K39" s="451"/>
      <c r="L39" s="8"/>
      <c r="M39" s="8"/>
      <c r="N39" s="181"/>
      <c r="O39" s="181"/>
      <c r="P39" s="181"/>
      <c r="Q39" s="181"/>
      <c r="R39" s="181"/>
      <c r="S39" s="8"/>
      <c r="T39" s="444"/>
      <c r="U39"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39" s="182">
        <f>ACOAETME2021[[#This Row],[TOTAL Non-Truncated Unadjusted Claims Expenses]]-ACOAETME2021[[#This Row],[Total Claims Excluded because of Truncation]]</f>
        <v>0</v>
      </c>
      <c r="W39"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39" s="182">
        <f>ACOAETME2021[[#This Row],[TOTAL Non-Truncated Unadjusted Claims Expenses]]+ACOAETME2021[[#This Row],[TOTAL Non-Claims Expenses]]</f>
        <v>0</v>
      </c>
      <c r="Y39" s="182">
        <f>ACOAETME2021[[#This Row],[TOTAL Truncated Unadjusted Claims Expenses (A19 - A17)]]+ACOAETME2021[[#This Row],[TOTAL Non-Claims Expenses]]</f>
        <v>0</v>
      </c>
      <c r="Z39" s="540" t="str">
        <f>IFERROR(ACOAETME2021[[#This Row],[TOTAL Non-Truncated Unadjusted Expenses 
(A19+A21)]]/ACOAETME2021[[#This Row],[Member Months]], "NA")</f>
        <v>NA</v>
      </c>
      <c r="AA39" s="232" t="str">
        <f>IFERROR(ACOAETME2021[[#This Row],[TOTAL Truncated Unadjusted Expenses (A20+A21)]]/ACOAETME2021[[#This Row],[Member Months]], "NA")</f>
        <v>NA</v>
      </c>
      <c r="AB39" s="504">
        <f>IFERROR(ACOAETME2021[[#This Row],[Total Claims Excluded because of Truncation]]/ACOAETME2021[[#This Row],[Count of Members with Claims Truncated]],0)</f>
        <v>0</v>
      </c>
      <c r="AC39" s="508">
        <f>IFERROR(ACOAETME2021[[#This Row],[Total Claims Excluded because of Truncation]]/ACOAETME2021[[#This Row],[TOTAL Non-Truncated Unadjusted Claims Expenses]],0)</f>
        <v>0</v>
      </c>
    </row>
    <row r="40" spans="1:29" x14ac:dyDescent="0.35">
      <c r="A40" s="176"/>
      <c r="B40" s="175"/>
      <c r="C40" s="439"/>
      <c r="D40" s="440"/>
      <c r="E40" s="8"/>
      <c r="F40" s="8"/>
      <c r="G40" s="8"/>
      <c r="H40" s="8"/>
      <c r="I40" s="8"/>
      <c r="J40" s="8"/>
      <c r="K40" s="451"/>
      <c r="L40" s="8"/>
      <c r="M40" s="8"/>
      <c r="N40" s="181"/>
      <c r="O40" s="181"/>
      <c r="P40" s="181"/>
      <c r="Q40" s="181"/>
      <c r="R40" s="181"/>
      <c r="S40" s="8"/>
      <c r="T40" s="445"/>
      <c r="U40"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40" s="182">
        <f>ACOAETME2021[[#This Row],[TOTAL Non-Truncated Unadjusted Claims Expenses]]-ACOAETME2021[[#This Row],[Total Claims Excluded because of Truncation]]</f>
        <v>0</v>
      </c>
      <c r="W40"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40" s="182">
        <f>ACOAETME2021[[#This Row],[TOTAL Non-Truncated Unadjusted Claims Expenses]]+ACOAETME2021[[#This Row],[TOTAL Non-Claims Expenses]]</f>
        <v>0</v>
      </c>
      <c r="Y40" s="182">
        <f>ACOAETME2021[[#This Row],[TOTAL Truncated Unadjusted Claims Expenses (A19 - A17)]]+ACOAETME2021[[#This Row],[TOTAL Non-Claims Expenses]]</f>
        <v>0</v>
      </c>
      <c r="Z40" s="540" t="str">
        <f>IFERROR(ACOAETME2021[[#This Row],[TOTAL Non-Truncated Unadjusted Expenses 
(A19+A21)]]/ACOAETME2021[[#This Row],[Member Months]], "NA")</f>
        <v>NA</v>
      </c>
      <c r="AA40" s="232" t="str">
        <f>IFERROR(ACOAETME2021[[#This Row],[TOTAL Truncated Unadjusted Expenses (A20+A21)]]/ACOAETME2021[[#This Row],[Member Months]], "NA")</f>
        <v>NA</v>
      </c>
      <c r="AB40" s="504">
        <f>IFERROR(ACOAETME2021[[#This Row],[Total Claims Excluded because of Truncation]]/ACOAETME2021[[#This Row],[Count of Members with Claims Truncated]],0)</f>
        <v>0</v>
      </c>
      <c r="AC40" s="508">
        <f>IFERROR(ACOAETME2021[[#This Row],[Total Claims Excluded because of Truncation]]/ACOAETME2021[[#This Row],[TOTAL Non-Truncated Unadjusted Claims Expenses]],0)</f>
        <v>0</v>
      </c>
    </row>
    <row r="41" spans="1:29" x14ac:dyDescent="0.35">
      <c r="A41" s="176"/>
      <c r="B41" s="175"/>
      <c r="C41" s="179"/>
      <c r="D41" s="180"/>
      <c r="E41" s="181"/>
      <c r="F41" s="181"/>
      <c r="G41" s="181"/>
      <c r="H41" s="181"/>
      <c r="I41" s="181"/>
      <c r="J41" s="181"/>
      <c r="K41" s="181"/>
      <c r="L41" s="181"/>
      <c r="M41" s="181"/>
      <c r="N41" s="181"/>
      <c r="O41" s="181"/>
      <c r="P41" s="181"/>
      <c r="Q41" s="181"/>
      <c r="R41" s="181"/>
      <c r="S41" s="8"/>
      <c r="T41" s="444"/>
      <c r="U41"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41" s="182">
        <f>ACOAETME2021[[#This Row],[TOTAL Non-Truncated Unadjusted Claims Expenses]]-ACOAETME2021[[#This Row],[Total Claims Excluded because of Truncation]]</f>
        <v>0</v>
      </c>
      <c r="W41"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41" s="182">
        <f>ACOAETME2021[[#This Row],[TOTAL Non-Truncated Unadjusted Claims Expenses]]+ACOAETME2021[[#This Row],[TOTAL Non-Claims Expenses]]</f>
        <v>0</v>
      </c>
      <c r="Y41" s="182">
        <f>ACOAETME2021[[#This Row],[TOTAL Truncated Unadjusted Claims Expenses (A19 - A17)]]+ACOAETME2021[[#This Row],[TOTAL Non-Claims Expenses]]</f>
        <v>0</v>
      </c>
      <c r="Z41" s="540" t="str">
        <f>IFERROR(ACOAETME2021[[#This Row],[TOTAL Non-Truncated Unadjusted Expenses 
(A19+A21)]]/ACOAETME2021[[#This Row],[Member Months]], "NA")</f>
        <v>NA</v>
      </c>
      <c r="AA41" s="232" t="str">
        <f>IFERROR(ACOAETME2021[[#This Row],[TOTAL Truncated Unadjusted Expenses (A20+A21)]]/ACOAETME2021[[#This Row],[Member Months]], "NA")</f>
        <v>NA</v>
      </c>
      <c r="AB41" s="504">
        <f>IFERROR(ACOAETME2021[[#This Row],[Total Claims Excluded because of Truncation]]/ACOAETME2021[[#This Row],[Count of Members with Claims Truncated]],0)</f>
        <v>0</v>
      </c>
      <c r="AC41" s="508">
        <f>IFERROR(ACOAETME2021[[#This Row],[Total Claims Excluded because of Truncation]]/ACOAETME2021[[#This Row],[TOTAL Non-Truncated Unadjusted Claims Expenses]],0)</f>
        <v>0</v>
      </c>
    </row>
    <row r="42" spans="1:29" x14ac:dyDescent="0.35">
      <c r="A42" s="176"/>
      <c r="B42" s="175"/>
      <c r="C42" s="179"/>
      <c r="D42" s="180"/>
      <c r="E42" s="181"/>
      <c r="F42" s="181"/>
      <c r="G42" s="181"/>
      <c r="H42" s="181"/>
      <c r="I42" s="181"/>
      <c r="J42" s="181"/>
      <c r="K42" s="181"/>
      <c r="L42" s="181"/>
      <c r="M42" s="181"/>
      <c r="N42" s="181"/>
      <c r="O42" s="181"/>
      <c r="P42" s="181"/>
      <c r="Q42" s="181"/>
      <c r="R42" s="181"/>
      <c r="S42" s="8"/>
      <c r="T42" s="445"/>
      <c r="U42"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42" s="182">
        <f>ACOAETME2021[[#This Row],[TOTAL Non-Truncated Unadjusted Claims Expenses]]-ACOAETME2021[[#This Row],[Total Claims Excluded because of Truncation]]</f>
        <v>0</v>
      </c>
      <c r="W42"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42" s="182">
        <f>ACOAETME2021[[#This Row],[TOTAL Non-Truncated Unadjusted Claims Expenses]]+ACOAETME2021[[#This Row],[TOTAL Non-Claims Expenses]]</f>
        <v>0</v>
      </c>
      <c r="Y42" s="182">
        <f>ACOAETME2021[[#This Row],[TOTAL Truncated Unadjusted Claims Expenses (A19 - A17)]]+ACOAETME2021[[#This Row],[TOTAL Non-Claims Expenses]]</f>
        <v>0</v>
      </c>
      <c r="Z42" s="540" t="str">
        <f>IFERROR(ACOAETME2021[[#This Row],[TOTAL Non-Truncated Unadjusted Expenses 
(A19+A21)]]/ACOAETME2021[[#This Row],[Member Months]], "NA")</f>
        <v>NA</v>
      </c>
      <c r="AA42" s="232" t="str">
        <f>IFERROR(ACOAETME2021[[#This Row],[TOTAL Truncated Unadjusted Expenses (A20+A21)]]/ACOAETME2021[[#This Row],[Member Months]], "NA")</f>
        <v>NA</v>
      </c>
      <c r="AB42" s="504">
        <f>IFERROR(ACOAETME2021[[#This Row],[Total Claims Excluded because of Truncation]]/ACOAETME2021[[#This Row],[Count of Members with Claims Truncated]],0)</f>
        <v>0</v>
      </c>
      <c r="AC42" s="508">
        <f>IFERROR(ACOAETME2021[[#This Row],[Total Claims Excluded because of Truncation]]/ACOAETME2021[[#This Row],[TOTAL Non-Truncated Unadjusted Claims Expenses]],0)</f>
        <v>0</v>
      </c>
    </row>
    <row r="43" spans="1:29" x14ac:dyDescent="0.35">
      <c r="A43" s="176"/>
      <c r="B43" s="175"/>
      <c r="C43" s="179"/>
      <c r="D43" s="180"/>
      <c r="E43" s="181"/>
      <c r="F43" s="181"/>
      <c r="G43" s="181"/>
      <c r="H43" s="181"/>
      <c r="I43" s="181"/>
      <c r="J43" s="181"/>
      <c r="K43" s="181"/>
      <c r="L43" s="181"/>
      <c r="M43" s="181"/>
      <c r="N43" s="181"/>
      <c r="O43" s="181"/>
      <c r="P43" s="181"/>
      <c r="Q43" s="181"/>
      <c r="R43" s="181"/>
      <c r="S43" s="181"/>
      <c r="T43" s="181"/>
      <c r="U43"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43" s="182">
        <f>ACOAETME2021[[#This Row],[TOTAL Non-Truncated Unadjusted Claims Expenses]]-ACOAETME2021[[#This Row],[Total Claims Excluded because of Truncation]]</f>
        <v>0</v>
      </c>
      <c r="W43"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43" s="182">
        <f>ACOAETME2021[[#This Row],[TOTAL Non-Truncated Unadjusted Claims Expenses]]+ACOAETME2021[[#This Row],[TOTAL Non-Claims Expenses]]</f>
        <v>0</v>
      </c>
      <c r="Y43" s="182">
        <f>ACOAETME2021[[#This Row],[TOTAL Truncated Unadjusted Claims Expenses (A19 - A17)]]+ACOAETME2021[[#This Row],[TOTAL Non-Claims Expenses]]</f>
        <v>0</v>
      </c>
      <c r="Z43" s="540" t="str">
        <f>IFERROR(ACOAETME2021[[#This Row],[TOTAL Non-Truncated Unadjusted Expenses 
(A19+A21)]]/ACOAETME2021[[#This Row],[Member Months]], "NA")</f>
        <v>NA</v>
      </c>
      <c r="AA43" s="232" t="str">
        <f>IFERROR(ACOAETME2021[[#This Row],[TOTAL Truncated Unadjusted Expenses (A20+A21)]]/ACOAETME2021[[#This Row],[Member Months]], "NA")</f>
        <v>NA</v>
      </c>
      <c r="AB43" s="504">
        <f>IFERROR(ACOAETME2021[[#This Row],[Total Claims Excluded because of Truncation]]/ACOAETME2021[[#This Row],[Count of Members with Claims Truncated]],0)</f>
        <v>0</v>
      </c>
      <c r="AC43" s="508">
        <f>IFERROR(ACOAETME2021[[#This Row],[Total Claims Excluded because of Truncation]]/ACOAETME2021[[#This Row],[TOTAL Non-Truncated Unadjusted Claims Expenses]],0)</f>
        <v>0</v>
      </c>
    </row>
    <row r="44" spans="1:29" x14ac:dyDescent="0.35">
      <c r="A44" s="176"/>
      <c r="B44" s="175"/>
      <c r="C44" s="179"/>
      <c r="D44" s="180"/>
      <c r="E44" s="181"/>
      <c r="F44" s="181"/>
      <c r="G44" s="181"/>
      <c r="H44" s="181"/>
      <c r="I44" s="181"/>
      <c r="J44" s="181"/>
      <c r="K44" s="181"/>
      <c r="L44" s="181"/>
      <c r="M44" s="181"/>
      <c r="N44" s="181"/>
      <c r="O44" s="181"/>
      <c r="P44" s="181"/>
      <c r="Q44" s="181"/>
      <c r="R44" s="181"/>
      <c r="S44" s="181"/>
      <c r="T44" s="181"/>
      <c r="U44"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44" s="182">
        <f>ACOAETME2021[[#This Row],[TOTAL Non-Truncated Unadjusted Claims Expenses]]-ACOAETME2021[[#This Row],[Total Claims Excluded because of Truncation]]</f>
        <v>0</v>
      </c>
      <c r="W44"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44" s="182">
        <f>ACOAETME2021[[#This Row],[TOTAL Non-Truncated Unadjusted Claims Expenses]]+ACOAETME2021[[#This Row],[TOTAL Non-Claims Expenses]]</f>
        <v>0</v>
      </c>
      <c r="Y44" s="182">
        <f>ACOAETME2021[[#This Row],[TOTAL Truncated Unadjusted Claims Expenses (A19 - A17)]]+ACOAETME2021[[#This Row],[TOTAL Non-Claims Expenses]]</f>
        <v>0</v>
      </c>
      <c r="Z44" s="540" t="str">
        <f>IFERROR(ACOAETME2021[[#This Row],[TOTAL Non-Truncated Unadjusted Expenses 
(A19+A21)]]/ACOAETME2021[[#This Row],[Member Months]], "NA")</f>
        <v>NA</v>
      </c>
      <c r="AA44" s="232" t="str">
        <f>IFERROR(ACOAETME2021[[#This Row],[TOTAL Truncated Unadjusted Expenses (A20+A21)]]/ACOAETME2021[[#This Row],[Member Months]], "NA")</f>
        <v>NA</v>
      </c>
      <c r="AB44" s="504">
        <f>IFERROR(ACOAETME2021[[#This Row],[Total Claims Excluded because of Truncation]]/ACOAETME2021[[#This Row],[Count of Members with Claims Truncated]],0)</f>
        <v>0</v>
      </c>
      <c r="AC44" s="508">
        <f>IFERROR(ACOAETME2021[[#This Row],[Total Claims Excluded because of Truncation]]/ACOAETME2021[[#This Row],[TOTAL Non-Truncated Unadjusted Claims Expenses]],0)</f>
        <v>0</v>
      </c>
    </row>
    <row r="45" spans="1:29" x14ac:dyDescent="0.35">
      <c r="A45" s="176"/>
      <c r="B45" s="175"/>
      <c r="C45" s="179"/>
      <c r="D45" s="180"/>
      <c r="E45" s="181"/>
      <c r="F45" s="181"/>
      <c r="G45" s="181"/>
      <c r="H45" s="181"/>
      <c r="I45" s="181"/>
      <c r="J45" s="181"/>
      <c r="K45" s="181"/>
      <c r="L45" s="181"/>
      <c r="M45" s="181"/>
      <c r="N45" s="181"/>
      <c r="O45" s="181"/>
      <c r="P45" s="181"/>
      <c r="Q45" s="181"/>
      <c r="R45" s="181"/>
      <c r="S45" s="181"/>
      <c r="T45" s="181"/>
      <c r="U45"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45" s="182">
        <f>ACOAETME2021[[#This Row],[TOTAL Non-Truncated Unadjusted Claims Expenses]]-ACOAETME2021[[#This Row],[Total Claims Excluded because of Truncation]]</f>
        <v>0</v>
      </c>
      <c r="W45"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45" s="182">
        <f>ACOAETME2021[[#This Row],[TOTAL Non-Truncated Unadjusted Claims Expenses]]+ACOAETME2021[[#This Row],[TOTAL Non-Claims Expenses]]</f>
        <v>0</v>
      </c>
      <c r="Y45" s="182">
        <f>ACOAETME2021[[#This Row],[TOTAL Truncated Unadjusted Claims Expenses (A19 - A17)]]+ACOAETME2021[[#This Row],[TOTAL Non-Claims Expenses]]</f>
        <v>0</v>
      </c>
      <c r="Z45" s="540" t="str">
        <f>IFERROR(ACOAETME2021[[#This Row],[TOTAL Non-Truncated Unadjusted Expenses 
(A19+A21)]]/ACOAETME2021[[#This Row],[Member Months]], "NA")</f>
        <v>NA</v>
      </c>
      <c r="AA45" s="232" t="str">
        <f>IFERROR(ACOAETME2021[[#This Row],[TOTAL Truncated Unadjusted Expenses (A20+A21)]]/ACOAETME2021[[#This Row],[Member Months]], "NA")</f>
        <v>NA</v>
      </c>
      <c r="AB45" s="504">
        <f>IFERROR(ACOAETME2021[[#This Row],[Total Claims Excluded because of Truncation]]/ACOAETME2021[[#This Row],[Count of Members with Claims Truncated]],0)</f>
        <v>0</v>
      </c>
      <c r="AC45" s="508">
        <f>IFERROR(ACOAETME2021[[#This Row],[Total Claims Excluded because of Truncation]]/ACOAETME2021[[#This Row],[TOTAL Non-Truncated Unadjusted Claims Expenses]],0)</f>
        <v>0</v>
      </c>
    </row>
    <row r="46" spans="1:29" x14ac:dyDescent="0.35">
      <c r="A46" s="176"/>
      <c r="B46" s="175"/>
      <c r="C46" s="179"/>
      <c r="D46" s="180"/>
      <c r="E46" s="181"/>
      <c r="F46" s="181"/>
      <c r="G46" s="181"/>
      <c r="H46" s="181"/>
      <c r="I46" s="181"/>
      <c r="J46" s="181"/>
      <c r="K46" s="181"/>
      <c r="L46" s="181"/>
      <c r="M46" s="181"/>
      <c r="N46" s="181"/>
      <c r="O46" s="181"/>
      <c r="P46" s="181"/>
      <c r="Q46" s="181"/>
      <c r="R46" s="181"/>
      <c r="S46" s="181"/>
      <c r="T46" s="181"/>
      <c r="U46"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46" s="182">
        <f>ACOAETME2021[[#This Row],[TOTAL Non-Truncated Unadjusted Claims Expenses]]-ACOAETME2021[[#This Row],[Total Claims Excluded because of Truncation]]</f>
        <v>0</v>
      </c>
      <c r="W46"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46" s="182">
        <f>ACOAETME2021[[#This Row],[TOTAL Non-Truncated Unadjusted Claims Expenses]]+ACOAETME2021[[#This Row],[TOTAL Non-Claims Expenses]]</f>
        <v>0</v>
      </c>
      <c r="Y46" s="182">
        <f>ACOAETME2021[[#This Row],[TOTAL Truncated Unadjusted Claims Expenses (A19 - A17)]]+ACOAETME2021[[#This Row],[TOTAL Non-Claims Expenses]]</f>
        <v>0</v>
      </c>
      <c r="Z46" s="540" t="str">
        <f>IFERROR(ACOAETME2021[[#This Row],[TOTAL Non-Truncated Unadjusted Expenses 
(A19+A21)]]/ACOAETME2021[[#This Row],[Member Months]], "NA")</f>
        <v>NA</v>
      </c>
      <c r="AA46" s="232" t="str">
        <f>IFERROR(ACOAETME2021[[#This Row],[TOTAL Truncated Unadjusted Expenses (A20+A21)]]/ACOAETME2021[[#This Row],[Member Months]], "NA")</f>
        <v>NA</v>
      </c>
      <c r="AB46" s="504">
        <f>IFERROR(ACOAETME2021[[#This Row],[Total Claims Excluded because of Truncation]]/ACOAETME2021[[#This Row],[Count of Members with Claims Truncated]],0)</f>
        <v>0</v>
      </c>
      <c r="AC46" s="508">
        <f>IFERROR(ACOAETME2021[[#This Row],[Total Claims Excluded because of Truncation]]/ACOAETME2021[[#This Row],[TOTAL Non-Truncated Unadjusted Claims Expenses]],0)</f>
        <v>0</v>
      </c>
    </row>
    <row r="47" spans="1:29" x14ac:dyDescent="0.35">
      <c r="A47" s="176"/>
      <c r="B47" s="175"/>
      <c r="C47" s="179"/>
      <c r="D47" s="180"/>
      <c r="E47" s="181"/>
      <c r="F47" s="181"/>
      <c r="G47" s="181"/>
      <c r="H47" s="181"/>
      <c r="I47" s="181"/>
      <c r="J47" s="181"/>
      <c r="K47" s="181"/>
      <c r="L47" s="181"/>
      <c r="M47" s="181"/>
      <c r="N47" s="181"/>
      <c r="O47" s="181"/>
      <c r="P47" s="181"/>
      <c r="Q47" s="181"/>
      <c r="R47" s="181"/>
      <c r="S47" s="181"/>
      <c r="T47" s="181"/>
      <c r="U47"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47" s="182">
        <f>ACOAETME2021[[#This Row],[TOTAL Non-Truncated Unadjusted Claims Expenses]]-ACOAETME2021[[#This Row],[Total Claims Excluded because of Truncation]]</f>
        <v>0</v>
      </c>
      <c r="W47"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47" s="182">
        <f>ACOAETME2021[[#This Row],[TOTAL Non-Truncated Unadjusted Claims Expenses]]+ACOAETME2021[[#This Row],[TOTAL Non-Claims Expenses]]</f>
        <v>0</v>
      </c>
      <c r="Y47" s="182">
        <f>ACOAETME2021[[#This Row],[TOTAL Truncated Unadjusted Claims Expenses (A19 - A17)]]+ACOAETME2021[[#This Row],[TOTAL Non-Claims Expenses]]</f>
        <v>0</v>
      </c>
      <c r="Z47" s="540" t="str">
        <f>IFERROR(ACOAETME2021[[#This Row],[TOTAL Non-Truncated Unadjusted Expenses 
(A19+A21)]]/ACOAETME2021[[#This Row],[Member Months]], "NA")</f>
        <v>NA</v>
      </c>
      <c r="AA47" s="232" t="str">
        <f>IFERROR(ACOAETME2021[[#This Row],[TOTAL Truncated Unadjusted Expenses (A20+A21)]]/ACOAETME2021[[#This Row],[Member Months]], "NA")</f>
        <v>NA</v>
      </c>
      <c r="AB47" s="504">
        <f>IFERROR(ACOAETME2021[[#This Row],[Total Claims Excluded because of Truncation]]/ACOAETME2021[[#This Row],[Count of Members with Claims Truncated]],0)</f>
        <v>0</v>
      </c>
      <c r="AC47" s="508">
        <f>IFERROR(ACOAETME2021[[#This Row],[Total Claims Excluded because of Truncation]]/ACOAETME2021[[#This Row],[TOTAL Non-Truncated Unadjusted Claims Expenses]],0)</f>
        <v>0</v>
      </c>
    </row>
    <row r="48" spans="1:29" x14ac:dyDescent="0.35">
      <c r="A48" s="176"/>
      <c r="B48" s="175"/>
      <c r="C48" s="179"/>
      <c r="D48" s="180"/>
      <c r="E48" s="181"/>
      <c r="F48" s="181"/>
      <c r="G48" s="181"/>
      <c r="H48" s="181"/>
      <c r="I48" s="181"/>
      <c r="J48" s="181"/>
      <c r="K48" s="181"/>
      <c r="L48" s="181"/>
      <c r="M48" s="181"/>
      <c r="N48" s="181"/>
      <c r="O48" s="181"/>
      <c r="P48" s="181"/>
      <c r="Q48" s="181"/>
      <c r="R48" s="181"/>
      <c r="S48" s="181"/>
      <c r="T48" s="181"/>
      <c r="U48"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48" s="182">
        <f>ACOAETME2021[[#This Row],[TOTAL Non-Truncated Unadjusted Claims Expenses]]-ACOAETME2021[[#This Row],[Total Claims Excluded because of Truncation]]</f>
        <v>0</v>
      </c>
      <c r="W48"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48" s="182">
        <f>ACOAETME2021[[#This Row],[TOTAL Non-Truncated Unadjusted Claims Expenses]]+ACOAETME2021[[#This Row],[TOTAL Non-Claims Expenses]]</f>
        <v>0</v>
      </c>
      <c r="Y48" s="182">
        <f>ACOAETME2021[[#This Row],[TOTAL Truncated Unadjusted Claims Expenses (A19 - A17)]]+ACOAETME2021[[#This Row],[TOTAL Non-Claims Expenses]]</f>
        <v>0</v>
      </c>
      <c r="Z48" s="540" t="str">
        <f>IFERROR(ACOAETME2021[[#This Row],[TOTAL Non-Truncated Unadjusted Expenses 
(A19+A21)]]/ACOAETME2021[[#This Row],[Member Months]], "NA")</f>
        <v>NA</v>
      </c>
      <c r="AA48" s="232" t="str">
        <f>IFERROR(ACOAETME2021[[#This Row],[TOTAL Truncated Unadjusted Expenses (A20+A21)]]/ACOAETME2021[[#This Row],[Member Months]], "NA")</f>
        <v>NA</v>
      </c>
      <c r="AB48" s="504">
        <f>IFERROR(ACOAETME2021[[#This Row],[Total Claims Excluded because of Truncation]]/ACOAETME2021[[#This Row],[Count of Members with Claims Truncated]],0)</f>
        <v>0</v>
      </c>
      <c r="AC48" s="508">
        <f>IFERROR(ACOAETME2021[[#This Row],[Total Claims Excluded because of Truncation]]/ACOAETME2021[[#This Row],[TOTAL Non-Truncated Unadjusted Claims Expenses]],0)</f>
        <v>0</v>
      </c>
    </row>
    <row r="49" spans="1:29" x14ac:dyDescent="0.35">
      <c r="A49" s="176"/>
      <c r="B49" s="175"/>
      <c r="C49" s="179"/>
      <c r="D49" s="180"/>
      <c r="E49" s="181"/>
      <c r="F49" s="181"/>
      <c r="G49" s="181"/>
      <c r="H49" s="181"/>
      <c r="I49" s="181"/>
      <c r="J49" s="181"/>
      <c r="K49" s="181"/>
      <c r="L49" s="181"/>
      <c r="M49" s="181"/>
      <c r="N49" s="181"/>
      <c r="O49" s="181"/>
      <c r="P49" s="181"/>
      <c r="Q49" s="181"/>
      <c r="R49" s="181"/>
      <c r="S49" s="181"/>
      <c r="T49" s="181"/>
      <c r="U49"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49" s="182">
        <f>ACOAETME2021[[#This Row],[TOTAL Non-Truncated Unadjusted Claims Expenses]]-ACOAETME2021[[#This Row],[Total Claims Excluded because of Truncation]]</f>
        <v>0</v>
      </c>
      <c r="W49"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49" s="182">
        <f>ACOAETME2021[[#This Row],[TOTAL Non-Truncated Unadjusted Claims Expenses]]+ACOAETME2021[[#This Row],[TOTAL Non-Claims Expenses]]</f>
        <v>0</v>
      </c>
      <c r="Y49" s="182">
        <f>ACOAETME2021[[#This Row],[TOTAL Truncated Unadjusted Claims Expenses (A19 - A17)]]+ACOAETME2021[[#This Row],[TOTAL Non-Claims Expenses]]</f>
        <v>0</v>
      </c>
      <c r="Z49" s="540" t="str">
        <f>IFERROR(ACOAETME2021[[#This Row],[TOTAL Non-Truncated Unadjusted Expenses 
(A19+A21)]]/ACOAETME2021[[#This Row],[Member Months]], "NA")</f>
        <v>NA</v>
      </c>
      <c r="AA49" s="232" t="str">
        <f>IFERROR(ACOAETME2021[[#This Row],[TOTAL Truncated Unadjusted Expenses (A20+A21)]]/ACOAETME2021[[#This Row],[Member Months]], "NA")</f>
        <v>NA</v>
      </c>
      <c r="AB49" s="504">
        <f>IFERROR(ACOAETME2021[[#This Row],[Total Claims Excluded because of Truncation]]/ACOAETME2021[[#This Row],[Count of Members with Claims Truncated]],0)</f>
        <v>0</v>
      </c>
      <c r="AC49" s="508">
        <f>IFERROR(ACOAETME2021[[#This Row],[Total Claims Excluded because of Truncation]]/ACOAETME2021[[#This Row],[TOTAL Non-Truncated Unadjusted Claims Expenses]],0)</f>
        <v>0</v>
      </c>
    </row>
    <row r="50" spans="1:29" x14ac:dyDescent="0.35">
      <c r="A50" s="176"/>
      <c r="B50" s="175"/>
      <c r="C50" s="179"/>
      <c r="D50" s="180"/>
      <c r="E50" s="181"/>
      <c r="F50" s="181"/>
      <c r="G50" s="181"/>
      <c r="H50" s="181"/>
      <c r="I50" s="181"/>
      <c r="J50" s="181"/>
      <c r="K50" s="181"/>
      <c r="L50" s="181"/>
      <c r="M50" s="181"/>
      <c r="N50" s="181"/>
      <c r="O50" s="181"/>
      <c r="P50" s="181"/>
      <c r="Q50" s="181"/>
      <c r="R50" s="181"/>
      <c r="S50" s="181"/>
      <c r="T50" s="181"/>
      <c r="U50"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50" s="182">
        <f>ACOAETME2021[[#This Row],[TOTAL Non-Truncated Unadjusted Claims Expenses]]-ACOAETME2021[[#This Row],[Total Claims Excluded because of Truncation]]</f>
        <v>0</v>
      </c>
      <c r="W50"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50" s="182">
        <f>ACOAETME2021[[#This Row],[TOTAL Non-Truncated Unadjusted Claims Expenses]]+ACOAETME2021[[#This Row],[TOTAL Non-Claims Expenses]]</f>
        <v>0</v>
      </c>
      <c r="Y50" s="182">
        <f>ACOAETME2021[[#This Row],[TOTAL Truncated Unadjusted Claims Expenses (A19 - A17)]]+ACOAETME2021[[#This Row],[TOTAL Non-Claims Expenses]]</f>
        <v>0</v>
      </c>
      <c r="Z50" s="540" t="str">
        <f>IFERROR(ACOAETME2021[[#This Row],[TOTAL Non-Truncated Unadjusted Expenses 
(A19+A21)]]/ACOAETME2021[[#This Row],[Member Months]], "NA")</f>
        <v>NA</v>
      </c>
      <c r="AA50" s="232" t="str">
        <f>IFERROR(ACOAETME2021[[#This Row],[TOTAL Truncated Unadjusted Expenses (A20+A21)]]/ACOAETME2021[[#This Row],[Member Months]], "NA")</f>
        <v>NA</v>
      </c>
      <c r="AB50" s="504">
        <f>IFERROR(ACOAETME2021[[#This Row],[Total Claims Excluded because of Truncation]]/ACOAETME2021[[#This Row],[Count of Members with Claims Truncated]],0)</f>
        <v>0</v>
      </c>
      <c r="AC50" s="508">
        <f>IFERROR(ACOAETME2021[[#This Row],[Total Claims Excluded because of Truncation]]/ACOAETME2021[[#This Row],[TOTAL Non-Truncated Unadjusted Claims Expenses]],0)</f>
        <v>0</v>
      </c>
    </row>
    <row r="51" spans="1:29" x14ac:dyDescent="0.35">
      <c r="A51" s="176"/>
      <c r="B51" s="175"/>
      <c r="C51" s="179"/>
      <c r="D51" s="180"/>
      <c r="E51" s="181"/>
      <c r="F51" s="181"/>
      <c r="G51" s="181"/>
      <c r="H51" s="181"/>
      <c r="I51" s="181"/>
      <c r="J51" s="181"/>
      <c r="K51" s="181"/>
      <c r="L51" s="181"/>
      <c r="M51" s="181"/>
      <c r="N51" s="181"/>
      <c r="O51" s="181"/>
      <c r="P51" s="181"/>
      <c r="Q51" s="181"/>
      <c r="R51" s="181"/>
      <c r="S51" s="181"/>
      <c r="T51" s="181"/>
      <c r="U51"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51" s="182">
        <f>ACOAETME2021[[#This Row],[TOTAL Non-Truncated Unadjusted Claims Expenses]]-ACOAETME2021[[#This Row],[Total Claims Excluded because of Truncation]]</f>
        <v>0</v>
      </c>
      <c r="W51"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51" s="182">
        <f>ACOAETME2021[[#This Row],[TOTAL Non-Truncated Unadjusted Claims Expenses]]+ACOAETME2021[[#This Row],[TOTAL Non-Claims Expenses]]</f>
        <v>0</v>
      </c>
      <c r="Y51" s="182">
        <f>ACOAETME2021[[#This Row],[TOTAL Truncated Unadjusted Claims Expenses (A19 - A17)]]+ACOAETME2021[[#This Row],[TOTAL Non-Claims Expenses]]</f>
        <v>0</v>
      </c>
      <c r="Z51" s="540" t="str">
        <f>IFERROR(ACOAETME2021[[#This Row],[TOTAL Non-Truncated Unadjusted Expenses 
(A19+A21)]]/ACOAETME2021[[#This Row],[Member Months]], "NA")</f>
        <v>NA</v>
      </c>
      <c r="AA51" s="232" t="str">
        <f>IFERROR(ACOAETME2021[[#This Row],[TOTAL Truncated Unadjusted Expenses (A20+A21)]]/ACOAETME2021[[#This Row],[Member Months]], "NA")</f>
        <v>NA</v>
      </c>
      <c r="AB51" s="504">
        <f>IFERROR(ACOAETME2021[[#This Row],[Total Claims Excluded because of Truncation]]/ACOAETME2021[[#This Row],[Count of Members with Claims Truncated]],0)</f>
        <v>0</v>
      </c>
      <c r="AC51" s="508">
        <f>IFERROR(ACOAETME2021[[#This Row],[Total Claims Excluded because of Truncation]]/ACOAETME2021[[#This Row],[TOTAL Non-Truncated Unadjusted Claims Expenses]],0)</f>
        <v>0</v>
      </c>
    </row>
    <row r="52" spans="1:29" x14ac:dyDescent="0.35">
      <c r="A52" s="176"/>
      <c r="B52" s="175"/>
      <c r="C52" s="179"/>
      <c r="D52" s="180"/>
      <c r="E52" s="181"/>
      <c r="F52" s="181"/>
      <c r="G52" s="181"/>
      <c r="H52" s="181"/>
      <c r="I52" s="181"/>
      <c r="J52" s="181"/>
      <c r="K52" s="181"/>
      <c r="L52" s="181"/>
      <c r="M52" s="181"/>
      <c r="N52" s="181"/>
      <c r="O52" s="181"/>
      <c r="P52" s="181"/>
      <c r="Q52" s="181"/>
      <c r="R52" s="181"/>
      <c r="S52" s="181"/>
      <c r="T52" s="181"/>
      <c r="U52"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52" s="182">
        <f>ACOAETME2021[[#This Row],[TOTAL Non-Truncated Unadjusted Claims Expenses]]-ACOAETME2021[[#This Row],[Total Claims Excluded because of Truncation]]</f>
        <v>0</v>
      </c>
      <c r="W52"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52" s="182">
        <f>ACOAETME2021[[#This Row],[TOTAL Non-Truncated Unadjusted Claims Expenses]]+ACOAETME2021[[#This Row],[TOTAL Non-Claims Expenses]]</f>
        <v>0</v>
      </c>
      <c r="Y52" s="182">
        <f>ACOAETME2021[[#This Row],[TOTAL Truncated Unadjusted Claims Expenses (A19 - A17)]]+ACOAETME2021[[#This Row],[TOTAL Non-Claims Expenses]]</f>
        <v>0</v>
      </c>
      <c r="Z52" s="540" t="str">
        <f>IFERROR(ACOAETME2021[[#This Row],[TOTAL Non-Truncated Unadjusted Expenses 
(A19+A21)]]/ACOAETME2021[[#This Row],[Member Months]], "NA")</f>
        <v>NA</v>
      </c>
      <c r="AA52" s="232" t="str">
        <f>IFERROR(ACOAETME2021[[#This Row],[TOTAL Truncated Unadjusted Expenses (A20+A21)]]/ACOAETME2021[[#This Row],[Member Months]], "NA")</f>
        <v>NA</v>
      </c>
      <c r="AB52" s="504">
        <f>IFERROR(ACOAETME2021[[#This Row],[Total Claims Excluded because of Truncation]]/ACOAETME2021[[#This Row],[Count of Members with Claims Truncated]],0)</f>
        <v>0</v>
      </c>
      <c r="AC52" s="508">
        <f>IFERROR(ACOAETME2021[[#This Row],[Total Claims Excluded because of Truncation]]/ACOAETME2021[[#This Row],[TOTAL Non-Truncated Unadjusted Claims Expenses]],0)</f>
        <v>0</v>
      </c>
    </row>
    <row r="53" spans="1:29" x14ac:dyDescent="0.35">
      <c r="A53" s="176"/>
      <c r="B53" s="175"/>
      <c r="C53" s="179"/>
      <c r="D53" s="180"/>
      <c r="E53" s="181"/>
      <c r="F53" s="181"/>
      <c r="G53" s="181"/>
      <c r="H53" s="181"/>
      <c r="I53" s="181"/>
      <c r="J53" s="181"/>
      <c r="K53" s="181"/>
      <c r="L53" s="181"/>
      <c r="M53" s="181"/>
      <c r="N53" s="181"/>
      <c r="O53" s="181"/>
      <c r="P53" s="181"/>
      <c r="Q53" s="181"/>
      <c r="R53" s="181"/>
      <c r="S53" s="181"/>
      <c r="T53" s="181"/>
      <c r="U53"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53" s="182">
        <f>ACOAETME2021[[#This Row],[TOTAL Non-Truncated Unadjusted Claims Expenses]]-ACOAETME2021[[#This Row],[Total Claims Excluded because of Truncation]]</f>
        <v>0</v>
      </c>
      <c r="W53"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53" s="182">
        <f>ACOAETME2021[[#This Row],[TOTAL Non-Truncated Unadjusted Claims Expenses]]+ACOAETME2021[[#This Row],[TOTAL Non-Claims Expenses]]</f>
        <v>0</v>
      </c>
      <c r="Y53" s="182">
        <f>ACOAETME2021[[#This Row],[TOTAL Truncated Unadjusted Claims Expenses (A19 - A17)]]+ACOAETME2021[[#This Row],[TOTAL Non-Claims Expenses]]</f>
        <v>0</v>
      </c>
      <c r="Z53" s="540" t="str">
        <f>IFERROR(ACOAETME2021[[#This Row],[TOTAL Non-Truncated Unadjusted Expenses 
(A19+A21)]]/ACOAETME2021[[#This Row],[Member Months]], "NA")</f>
        <v>NA</v>
      </c>
      <c r="AA53" s="232" t="str">
        <f>IFERROR(ACOAETME2021[[#This Row],[TOTAL Truncated Unadjusted Expenses (A20+A21)]]/ACOAETME2021[[#This Row],[Member Months]], "NA")</f>
        <v>NA</v>
      </c>
      <c r="AB53" s="504">
        <f>IFERROR(ACOAETME2021[[#This Row],[Total Claims Excluded because of Truncation]]/ACOAETME2021[[#This Row],[Count of Members with Claims Truncated]],0)</f>
        <v>0</v>
      </c>
      <c r="AC53" s="508">
        <f>IFERROR(ACOAETME2021[[#This Row],[Total Claims Excluded because of Truncation]]/ACOAETME2021[[#This Row],[TOTAL Non-Truncated Unadjusted Claims Expenses]],0)</f>
        <v>0</v>
      </c>
    </row>
    <row r="54" spans="1:29" x14ac:dyDescent="0.35">
      <c r="A54" s="176"/>
      <c r="B54" s="175"/>
      <c r="C54" s="179"/>
      <c r="D54" s="180"/>
      <c r="E54" s="181"/>
      <c r="F54" s="181"/>
      <c r="G54" s="181"/>
      <c r="H54" s="181"/>
      <c r="I54" s="181"/>
      <c r="J54" s="181"/>
      <c r="K54" s="181"/>
      <c r="L54" s="181"/>
      <c r="M54" s="181"/>
      <c r="N54" s="181"/>
      <c r="O54" s="181"/>
      <c r="P54" s="181"/>
      <c r="Q54" s="181"/>
      <c r="R54" s="181"/>
      <c r="S54" s="181"/>
      <c r="T54" s="181"/>
      <c r="U54"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54" s="182">
        <f>ACOAETME2021[[#This Row],[TOTAL Non-Truncated Unadjusted Claims Expenses]]-ACOAETME2021[[#This Row],[Total Claims Excluded because of Truncation]]</f>
        <v>0</v>
      </c>
      <c r="W54"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54" s="182">
        <f>ACOAETME2021[[#This Row],[TOTAL Non-Truncated Unadjusted Claims Expenses]]+ACOAETME2021[[#This Row],[TOTAL Non-Claims Expenses]]</f>
        <v>0</v>
      </c>
      <c r="Y54" s="182">
        <f>ACOAETME2021[[#This Row],[TOTAL Truncated Unadjusted Claims Expenses (A19 - A17)]]+ACOAETME2021[[#This Row],[TOTAL Non-Claims Expenses]]</f>
        <v>0</v>
      </c>
      <c r="Z54" s="540" t="str">
        <f>IFERROR(ACOAETME2021[[#This Row],[TOTAL Non-Truncated Unadjusted Expenses 
(A19+A21)]]/ACOAETME2021[[#This Row],[Member Months]], "NA")</f>
        <v>NA</v>
      </c>
      <c r="AA54" s="232" t="str">
        <f>IFERROR(ACOAETME2021[[#This Row],[TOTAL Truncated Unadjusted Expenses (A20+A21)]]/ACOAETME2021[[#This Row],[Member Months]], "NA")</f>
        <v>NA</v>
      </c>
      <c r="AB54" s="504">
        <f>IFERROR(ACOAETME2021[[#This Row],[Total Claims Excluded because of Truncation]]/ACOAETME2021[[#This Row],[Count of Members with Claims Truncated]],0)</f>
        <v>0</v>
      </c>
      <c r="AC54" s="508">
        <f>IFERROR(ACOAETME2021[[#This Row],[Total Claims Excluded because of Truncation]]/ACOAETME2021[[#This Row],[TOTAL Non-Truncated Unadjusted Claims Expenses]],0)</f>
        <v>0</v>
      </c>
    </row>
    <row r="55" spans="1:29" x14ac:dyDescent="0.35">
      <c r="A55" s="176"/>
      <c r="B55" s="175"/>
      <c r="C55" s="179"/>
      <c r="D55" s="180"/>
      <c r="E55" s="181"/>
      <c r="F55" s="181"/>
      <c r="G55" s="181"/>
      <c r="H55" s="181"/>
      <c r="I55" s="181"/>
      <c r="J55" s="181"/>
      <c r="K55" s="181"/>
      <c r="L55" s="181"/>
      <c r="M55" s="181"/>
      <c r="N55" s="181"/>
      <c r="O55" s="181"/>
      <c r="P55" s="181"/>
      <c r="Q55" s="181"/>
      <c r="R55" s="181"/>
      <c r="S55" s="181"/>
      <c r="T55" s="181"/>
      <c r="U55"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55" s="182">
        <f>ACOAETME2021[[#This Row],[TOTAL Non-Truncated Unadjusted Claims Expenses]]-ACOAETME2021[[#This Row],[Total Claims Excluded because of Truncation]]</f>
        <v>0</v>
      </c>
      <c r="W55"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55" s="182">
        <f>ACOAETME2021[[#This Row],[TOTAL Non-Truncated Unadjusted Claims Expenses]]+ACOAETME2021[[#This Row],[TOTAL Non-Claims Expenses]]</f>
        <v>0</v>
      </c>
      <c r="Y55" s="182">
        <f>ACOAETME2021[[#This Row],[TOTAL Truncated Unadjusted Claims Expenses (A19 - A17)]]+ACOAETME2021[[#This Row],[TOTAL Non-Claims Expenses]]</f>
        <v>0</v>
      </c>
      <c r="Z55" s="540" t="str">
        <f>IFERROR(ACOAETME2021[[#This Row],[TOTAL Non-Truncated Unadjusted Expenses 
(A19+A21)]]/ACOAETME2021[[#This Row],[Member Months]], "NA")</f>
        <v>NA</v>
      </c>
      <c r="AA55" s="232" t="str">
        <f>IFERROR(ACOAETME2021[[#This Row],[TOTAL Truncated Unadjusted Expenses (A20+A21)]]/ACOAETME2021[[#This Row],[Member Months]], "NA")</f>
        <v>NA</v>
      </c>
      <c r="AB55" s="504">
        <f>IFERROR(ACOAETME2021[[#This Row],[Total Claims Excluded because of Truncation]]/ACOAETME2021[[#This Row],[Count of Members with Claims Truncated]],0)</f>
        <v>0</v>
      </c>
      <c r="AC55" s="508">
        <f>IFERROR(ACOAETME2021[[#This Row],[Total Claims Excluded because of Truncation]]/ACOAETME2021[[#This Row],[TOTAL Non-Truncated Unadjusted Claims Expenses]],0)</f>
        <v>0</v>
      </c>
    </row>
    <row r="56" spans="1:29" x14ac:dyDescent="0.35">
      <c r="A56" s="176"/>
      <c r="B56" s="175"/>
      <c r="C56" s="179"/>
      <c r="D56" s="180"/>
      <c r="E56" s="181"/>
      <c r="F56" s="181"/>
      <c r="G56" s="181"/>
      <c r="H56" s="181"/>
      <c r="I56" s="181"/>
      <c r="J56" s="181"/>
      <c r="K56" s="181"/>
      <c r="L56" s="181"/>
      <c r="M56" s="181"/>
      <c r="N56" s="181"/>
      <c r="O56" s="181"/>
      <c r="P56" s="181"/>
      <c r="Q56" s="181"/>
      <c r="R56" s="181"/>
      <c r="S56" s="181"/>
      <c r="T56" s="181"/>
      <c r="U56"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56" s="182">
        <f>ACOAETME2021[[#This Row],[TOTAL Non-Truncated Unadjusted Claims Expenses]]-ACOAETME2021[[#This Row],[Total Claims Excluded because of Truncation]]</f>
        <v>0</v>
      </c>
      <c r="W56"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56" s="182">
        <f>ACOAETME2021[[#This Row],[TOTAL Non-Truncated Unadjusted Claims Expenses]]+ACOAETME2021[[#This Row],[TOTAL Non-Claims Expenses]]</f>
        <v>0</v>
      </c>
      <c r="Y56" s="182">
        <f>ACOAETME2021[[#This Row],[TOTAL Truncated Unadjusted Claims Expenses (A19 - A17)]]+ACOAETME2021[[#This Row],[TOTAL Non-Claims Expenses]]</f>
        <v>0</v>
      </c>
      <c r="Z56" s="540" t="str">
        <f>IFERROR(ACOAETME2021[[#This Row],[TOTAL Non-Truncated Unadjusted Expenses 
(A19+A21)]]/ACOAETME2021[[#This Row],[Member Months]], "NA")</f>
        <v>NA</v>
      </c>
      <c r="AA56" s="232" t="str">
        <f>IFERROR(ACOAETME2021[[#This Row],[TOTAL Truncated Unadjusted Expenses (A20+A21)]]/ACOAETME2021[[#This Row],[Member Months]], "NA")</f>
        <v>NA</v>
      </c>
      <c r="AB56" s="504">
        <f>IFERROR(ACOAETME2021[[#This Row],[Total Claims Excluded because of Truncation]]/ACOAETME2021[[#This Row],[Count of Members with Claims Truncated]],0)</f>
        <v>0</v>
      </c>
      <c r="AC56" s="508">
        <f>IFERROR(ACOAETME2021[[#This Row],[Total Claims Excluded because of Truncation]]/ACOAETME2021[[#This Row],[TOTAL Non-Truncated Unadjusted Claims Expenses]],0)</f>
        <v>0</v>
      </c>
    </row>
    <row r="57" spans="1:29" x14ac:dyDescent="0.35">
      <c r="A57" s="176"/>
      <c r="B57" s="175"/>
      <c r="C57" s="179"/>
      <c r="D57" s="180"/>
      <c r="E57" s="181"/>
      <c r="F57" s="181"/>
      <c r="G57" s="181"/>
      <c r="H57" s="181"/>
      <c r="I57" s="181"/>
      <c r="J57" s="181"/>
      <c r="K57" s="181"/>
      <c r="L57" s="181"/>
      <c r="M57" s="181"/>
      <c r="N57" s="181"/>
      <c r="O57" s="181"/>
      <c r="P57" s="181"/>
      <c r="Q57" s="181"/>
      <c r="R57" s="181"/>
      <c r="S57" s="181"/>
      <c r="T57" s="181"/>
      <c r="U57"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57" s="182">
        <f>ACOAETME2021[[#This Row],[TOTAL Non-Truncated Unadjusted Claims Expenses]]-ACOAETME2021[[#This Row],[Total Claims Excluded because of Truncation]]</f>
        <v>0</v>
      </c>
      <c r="W57"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57" s="182">
        <f>ACOAETME2021[[#This Row],[TOTAL Non-Truncated Unadjusted Claims Expenses]]+ACOAETME2021[[#This Row],[TOTAL Non-Claims Expenses]]</f>
        <v>0</v>
      </c>
      <c r="Y57" s="182">
        <f>ACOAETME2021[[#This Row],[TOTAL Truncated Unadjusted Claims Expenses (A19 - A17)]]+ACOAETME2021[[#This Row],[TOTAL Non-Claims Expenses]]</f>
        <v>0</v>
      </c>
      <c r="Z57" s="540" t="str">
        <f>IFERROR(ACOAETME2021[[#This Row],[TOTAL Non-Truncated Unadjusted Expenses 
(A19+A21)]]/ACOAETME2021[[#This Row],[Member Months]], "NA")</f>
        <v>NA</v>
      </c>
      <c r="AA57" s="232" t="str">
        <f>IFERROR(ACOAETME2021[[#This Row],[TOTAL Truncated Unadjusted Expenses (A20+A21)]]/ACOAETME2021[[#This Row],[Member Months]], "NA")</f>
        <v>NA</v>
      </c>
      <c r="AB57" s="504">
        <f>IFERROR(ACOAETME2021[[#This Row],[Total Claims Excluded because of Truncation]]/ACOAETME2021[[#This Row],[Count of Members with Claims Truncated]],0)</f>
        <v>0</v>
      </c>
      <c r="AC57" s="508">
        <f>IFERROR(ACOAETME2021[[#This Row],[Total Claims Excluded because of Truncation]]/ACOAETME2021[[#This Row],[TOTAL Non-Truncated Unadjusted Claims Expenses]],0)</f>
        <v>0</v>
      </c>
    </row>
    <row r="58" spans="1:29" x14ac:dyDescent="0.35">
      <c r="A58" s="176"/>
      <c r="B58" s="175"/>
      <c r="C58" s="179"/>
      <c r="D58" s="180"/>
      <c r="E58" s="181"/>
      <c r="F58" s="181"/>
      <c r="G58" s="181"/>
      <c r="H58" s="181"/>
      <c r="I58" s="181"/>
      <c r="J58" s="181"/>
      <c r="K58" s="181"/>
      <c r="L58" s="181"/>
      <c r="M58" s="181"/>
      <c r="N58" s="181"/>
      <c r="O58" s="181"/>
      <c r="P58" s="181"/>
      <c r="Q58" s="181"/>
      <c r="R58" s="181"/>
      <c r="S58" s="181"/>
      <c r="T58" s="181"/>
      <c r="U58"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58" s="182">
        <f>ACOAETME2021[[#This Row],[TOTAL Non-Truncated Unadjusted Claims Expenses]]-ACOAETME2021[[#This Row],[Total Claims Excluded because of Truncation]]</f>
        <v>0</v>
      </c>
      <c r="W58"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58" s="182">
        <f>ACOAETME2021[[#This Row],[TOTAL Non-Truncated Unadjusted Claims Expenses]]+ACOAETME2021[[#This Row],[TOTAL Non-Claims Expenses]]</f>
        <v>0</v>
      </c>
      <c r="Y58" s="182">
        <f>ACOAETME2021[[#This Row],[TOTAL Truncated Unadjusted Claims Expenses (A19 - A17)]]+ACOAETME2021[[#This Row],[TOTAL Non-Claims Expenses]]</f>
        <v>0</v>
      </c>
      <c r="Z58" s="540" t="str">
        <f>IFERROR(ACOAETME2021[[#This Row],[TOTAL Non-Truncated Unadjusted Expenses 
(A19+A21)]]/ACOAETME2021[[#This Row],[Member Months]], "NA")</f>
        <v>NA</v>
      </c>
      <c r="AA58" s="232" t="str">
        <f>IFERROR(ACOAETME2021[[#This Row],[TOTAL Truncated Unadjusted Expenses (A20+A21)]]/ACOAETME2021[[#This Row],[Member Months]], "NA")</f>
        <v>NA</v>
      </c>
      <c r="AB58" s="504">
        <f>IFERROR(ACOAETME2021[[#This Row],[Total Claims Excluded because of Truncation]]/ACOAETME2021[[#This Row],[Count of Members with Claims Truncated]],0)</f>
        <v>0</v>
      </c>
      <c r="AC58" s="508">
        <f>IFERROR(ACOAETME2021[[#This Row],[Total Claims Excluded because of Truncation]]/ACOAETME2021[[#This Row],[TOTAL Non-Truncated Unadjusted Claims Expenses]],0)</f>
        <v>0</v>
      </c>
    </row>
    <row r="59" spans="1:29" x14ac:dyDescent="0.35">
      <c r="A59" s="176"/>
      <c r="B59" s="175"/>
      <c r="C59" s="179"/>
      <c r="D59" s="180"/>
      <c r="E59" s="181"/>
      <c r="F59" s="181"/>
      <c r="G59" s="181"/>
      <c r="H59" s="181"/>
      <c r="I59" s="181"/>
      <c r="J59" s="181"/>
      <c r="K59" s="181"/>
      <c r="L59" s="181"/>
      <c r="M59" s="181"/>
      <c r="N59" s="181"/>
      <c r="O59" s="181"/>
      <c r="P59" s="181"/>
      <c r="Q59" s="181"/>
      <c r="R59" s="181"/>
      <c r="S59" s="181"/>
      <c r="T59" s="181"/>
      <c r="U59"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59" s="182">
        <f>ACOAETME2021[[#This Row],[TOTAL Non-Truncated Unadjusted Claims Expenses]]-ACOAETME2021[[#This Row],[Total Claims Excluded because of Truncation]]</f>
        <v>0</v>
      </c>
      <c r="W59"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59" s="182">
        <f>ACOAETME2021[[#This Row],[TOTAL Non-Truncated Unadjusted Claims Expenses]]+ACOAETME2021[[#This Row],[TOTAL Non-Claims Expenses]]</f>
        <v>0</v>
      </c>
      <c r="Y59" s="182">
        <f>ACOAETME2021[[#This Row],[TOTAL Truncated Unadjusted Claims Expenses (A19 - A17)]]+ACOAETME2021[[#This Row],[TOTAL Non-Claims Expenses]]</f>
        <v>0</v>
      </c>
      <c r="Z59" s="540" t="str">
        <f>IFERROR(ACOAETME2021[[#This Row],[TOTAL Non-Truncated Unadjusted Expenses 
(A19+A21)]]/ACOAETME2021[[#This Row],[Member Months]], "NA")</f>
        <v>NA</v>
      </c>
      <c r="AA59" s="232" t="str">
        <f>IFERROR(ACOAETME2021[[#This Row],[TOTAL Truncated Unadjusted Expenses (A20+A21)]]/ACOAETME2021[[#This Row],[Member Months]], "NA")</f>
        <v>NA</v>
      </c>
      <c r="AB59" s="504">
        <f>IFERROR(ACOAETME2021[[#This Row],[Total Claims Excluded because of Truncation]]/ACOAETME2021[[#This Row],[Count of Members with Claims Truncated]],0)</f>
        <v>0</v>
      </c>
      <c r="AC59" s="508">
        <f>IFERROR(ACOAETME2021[[#This Row],[Total Claims Excluded because of Truncation]]/ACOAETME2021[[#This Row],[TOTAL Non-Truncated Unadjusted Claims Expenses]],0)</f>
        <v>0</v>
      </c>
    </row>
    <row r="60" spans="1:29" x14ac:dyDescent="0.35">
      <c r="A60" s="176"/>
      <c r="B60" s="175"/>
      <c r="C60" s="179"/>
      <c r="D60" s="180"/>
      <c r="E60" s="181"/>
      <c r="F60" s="181"/>
      <c r="G60" s="181"/>
      <c r="H60" s="181"/>
      <c r="I60" s="181"/>
      <c r="J60" s="181"/>
      <c r="K60" s="181"/>
      <c r="L60" s="181"/>
      <c r="M60" s="181"/>
      <c r="N60" s="181"/>
      <c r="O60" s="181"/>
      <c r="P60" s="181"/>
      <c r="Q60" s="181"/>
      <c r="R60" s="181"/>
      <c r="S60" s="181"/>
      <c r="T60" s="181"/>
      <c r="U60"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60" s="182">
        <f>ACOAETME2021[[#This Row],[TOTAL Non-Truncated Unadjusted Claims Expenses]]-ACOAETME2021[[#This Row],[Total Claims Excluded because of Truncation]]</f>
        <v>0</v>
      </c>
      <c r="W60"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60" s="182">
        <f>ACOAETME2021[[#This Row],[TOTAL Non-Truncated Unadjusted Claims Expenses]]+ACOAETME2021[[#This Row],[TOTAL Non-Claims Expenses]]</f>
        <v>0</v>
      </c>
      <c r="Y60" s="182">
        <f>ACOAETME2021[[#This Row],[TOTAL Truncated Unadjusted Claims Expenses (A19 - A17)]]+ACOAETME2021[[#This Row],[TOTAL Non-Claims Expenses]]</f>
        <v>0</v>
      </c>
      <c r="Z60" s="540" t="str">
        <f>IFERROR(ACOAETME2021[[#This Row],[TOTAL Non-Truncated Unadjusted Expenses 
(A19+A21)]]/ACOAETME2021[[#This Row],[Member Months]], "NA")</f>
        <v>NA</v>
      </c>
      <c r="AA60" s="232" t="str">
        <f>IFERROR(ACOAETME2021[[#This Row],[TOTAL Truncated Unadjusted Expenses (A20+A21)]]/ACOAETME2021[[#This Row],[Member Months]], "NA")</f>
        <v>NA</v>
      </c>
      <c r="AB60" s="504">
        <f>IFERROR(ACOAETME2021[[#This Row],[Total Claims Excluded because of Truncation]]/ACOAETME2021[[#This Row],[Count of Members with Claims Truncated]],0)</f>
        <v>0</v>
      </c>
      <c r="AC60" s="508">
        <f>IFERROR(ACOAETME2021[[#This Row],[Total Claims Excluded because of Truncation]]/ACOAETME2021[[#This Row],[TOTAL Non-Truncated Unadjusted Claims Expenses]],0)</f>
        <v>0</v>
      </c>
    </row>
    <row r="61" spans="1:29" x14ac:dyDescent="0.35">
      <c r="A61" s="176"/>
      <c r="B61" s="175"/>
      <c r="C61" s="179"/>
      <c r="D61" s="180"/>
      <c r="E61" s="181"/>
      <c r="F61" s="181"/>
      <c r="G61" s="181"/>
      <c r="H61" s="181"/>
      <c r="I61" s="181"/>
      <c r="J61" s="181"/>
      <c r="K61" s="181"/>
      <c r="L61" s="181"/>
      <c r="M61" s="181"/>
      <c r="N61" s="181"/>
      <c r="O61" s="181"/>
      <c r="P61" s="181"/>
      <c r="Q61" s="181"/>
      <c r="R61" s="181"/>
      <c r="S61" s="181"/>
      <c r="T61" s="181"/>
      <c r="U61"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61" s="182">
        <f>ACOAETME2021[[#This Row],[TOTAL Non-Truncated Unadjusted Claims Expenses]]-ACOAETME2021[[#This Row],[Total Claims Excluded because of Truncation]]</f>
        <v>0</v>
      </c>
      <c r="W61"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61" s="182">
        <f>ACOAETME2021[[#This Row],[TOTAL Non-Truncated Unadjusted Claims Expenses]]+ACOAETME2021[[#This Row],[TOTAL Non-Claims Expenses]]</f>
        <v>0</v>
      </c>
      <c r="Y61" s="182">
        <f>ACOAETME2021[[#This Row],[TOTAL Truncated Unadjusted Claims Expenses (A19 - A17)]]+ACOAETME2021[[#This Row],[TOTAL Non-Claims Expenses]]</f>
        <v>0</v>
      </c>
      <c r="Z61" s="540" t="str">
        <f>IFERROR(ACOAETME2021[[#This Row],[TOTAL Non-Truncated Unadjusted Expenses 
(A19+A21)]]/ACOAETME2021[[#This Row],[Member Months]], "NA")</f>
        <v>NA</v>
      </c>
      <c r="AA61" s="232" t="str">
        <f>IFERROR(ACOAETME2021[[#This Row],[TOTAL Truncated Unadjusted Expenses (A20+A21)]]/ACOAETME2021[[#This Row],[Member Months]], "NA")</f>
        <v>NA</v>
      </c>
      <c r="AB61" s="504">
        <f>IFERROR(ACOAETME2021[[#This Row],[Total Claims Excluded because of Truncation]]/ACOAETME2021[[#This Row],[Count of Members with Claims Truncated]],0)</f>
        <v>0</v>
      </c>
      <c r="AC61" s="508">
        <f>IFERROR(ACOAETME2021[[#This Row],[Total Claims Excluded because of Truncation]]/ACOAETME2021[[#This Row],[TOTAL Non-Truncated Unadjusted Claims Expenses]],0)</f>
        <v>0</v>
      </c>
    </row>
    <row r="62" spans="1:29" x14ac:dyDescent="0.35">
      <c r="A62" s="176"/>
      <c r="B62" s="175"/>
      <c r="C62" s="179"/>
      <c r="D62" s="180"/>
      <c r="E62" s="181"/>
      <c r="F62" s="181"/>
      <c r="G62" s="181"/>
      <c r="H62" s="181"/>
      <c r="I62" s="181"/>
      <c r="J62" s="181"/>
      <c r="K62" s="181"/>
      <c r="L62" s="181"/>
      <c r="M62" s="181"/>
      <c r="N62" s="181"/>
      <c r="O62" s="181"/>
      <c r="P62" s="181"/>
      <c r="Q62" s="181"/>
      <c r="R62" s="181"/>
      <c r="S62" s="181"/>
      <c r="T62" s="181"/>
      <c r="U62"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62" s="182">
        <f>ACOAETME2021[[#This Row],[TOTAL Non-Truncated Unadjusted Claims Expenses]]-ACOAETME2021[[#This Row],[Total Claims Excluded because of Truncation]]</f>
        <v>0</v>
      </c>
      <c r="W62"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62" s="182">
        <f>ACOAETME2021[[#This Row],[TOTAL Non-Truncated Unadjusted Claims Expenses]]+ACOAETME2021[[#This Row],[TOTAL Non-Claims Expenses]]</f>
        <v>0</v>
      </c>
      <c r="Y62" s="182">
        <f>ACOAETME2021[[#This Row],[TOTAL Truncated Unadjusted Claims Expenses (A19 - A17)]]+ACOAETME2021[[#This Row],[TOTAL Non-Claims Expenses]]</f>
        <v>0</v>
      </c>
      <c r="Z62" s="540" t="str">
        <f>IFERROR(ACOAETME2021[[#This Row],[TOTAL Non-Truncated Unadjusted Expenses 
(A19+A21)]]/ACOAETME2021[[#This Row],[Member Months]], "NA")</f>
        <v>NA</v>
      </c>
      <c r="AA62" s="232" t="str">
        <f>IFERROR(ACOAETME2021[[#This Row],[TOTAL Truncated Unadjusted Expenses (A20+A21)]]/ACOAETME2021[[#This Row],[Member Months]], "NA")</f>
        <v>NA</v>
      </c>
      <c r="AB62" s="504">
        <f>IFERROR(ACOAETME2021[[#This Row],[Total Claims Excluded because of Truncation]]/ACOAETME2021[[#This Row],[Count of Members with Claims Truncated]],0)</f>
        <v>0</v>
      </c>
      <c r="AC62" s="508">
        <f>IFERROR(ACOAETME2021[[#This Row],[Total Claims Excluded because of Truncation]]/ACOAETME2021[[#This Row],[TOTAL Non-Truncated Unadjusted Claims Expenses]],0)</f>
        <v>0</v>
      </c>
    </row>
    <row r="63" spans="1:29" x14ac:dyDescent="0.35">
      <c r="A63" s="176"/>
      <c r="B63" s="175"/>
      <c r="C63" s="179"/>
      <c r="D63" s="180"/>
      <c r="E63" s="181"/>
      <c r="F63" s="181"/>
      <c r="G63" s="181"/>
      <c r="H63" s="181"/>
      <c r="I63" s="181"/>
      <c r="J63" s="181"/>
      <c r="K63" s="181"/>
      <c r="L63" s="181"/>
      <c r="M63" s="181"/>
      <c r="N63" s="181"/>
      <c r="O63" s="181"/>
      <c r="P63" s="181"/>
      <c r="Q63" s="181"/>
      <c r="R63" s="181"/>
      <c r="S63" s="181"/>
      <c r="T63" s="181"/>
      <c r="U63"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63" s="182">
        <f>ACOAETME2021[[#This Row],[TOTAL Non-Truncated Unadjusted Claims Expenses]]-ACOAETME2021[[#This Row],[Total Claims Excluded because of Truncation]]</f>
        <v>0</v>
      </c>
      <c r="W63"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63" s="182">
        <f>ACOAETME2021[[#This Row],[TOTAL Non-Truncated Unadjusted Claims Expenses]]+ACOAETME2021[[#This Row],[TOTAL Non-Claims Expenses]]</f>
        <v>0</v>
      </c>
      <c r="Y63" s="182">
        <f>ACOAETME2021[[#This Row],[TOTAL Truncated Unadjusted Claims Expenses (A19 - A17)]]+ACOAETME2021[[#This Row],[TOTAL Non-Claims Expenses]]</f>
        <v>0</v>
      </c>
      <c r="Z63" s="540" t="str">
        <f>IFERROR(ACOAETME2021[[#This Row],[TOTAL Non-Truncated Unadjusted Expenses 
(A19+A21)]]/ACOAETME2021[[#This Row],[Member Months]], "NA")</f>
        <v>NA</v>
      </c>
      <c r="AA63" s="232" t="str">
        <f>IFERROR(ACOAETME2021[[#This Row],[TOTAL Truncated Unadjusted Expenses (A20+A21)]]/ACOAETME2021[[#This Row],[Member Months]], "NA")</f>
        <v>NA</v>
      </c>
      <c r="AB63" s="504">
        <f>IFERROR(ACOAETME2021[[#This Row],[Total Claims Excluded because of Truncation]]/ACOAETME2021[[#This Row],[Count of Members with Claims Truncated]],0)</f>
        <v>0</v>
      </c>
      <c r="AC63" s="508">
        <f>IFERROR(ACOAETME2021[[#This Row],[Total Claims Excluded because of Truncation]]/ACOAETME2021[[#This Row],[TOTAL Non-Truncated Unadjusted Claims Expenses]],0)</f>
        <v>0</v>
      </c>
    </row>
    <row r="64" spans="1:29" x14ac:dyDescent="0.35">
      <c r="A64" s="176"/>
      <c r="B64" s="175"/>
      <c r="C64" s="179"/>
      <c r="D64" s="180"/>
      <c r="E64" s="181"/>
      <c r="F64" s="181"/>
      <c r="G64" s="181"/>
      <c r="H64" s="181"/>
      <c r="I64" s="181"/>
      <c r="J64" s="181"/>
      <c r="K64" s="181"/>
      <c r="L64" s="181"/>
      <c r="M64" s="181"/>
      <c r="N64" s="181"/>
      <c r="O64" s="181"/>
      <c r="P64" s="181"/>
      <c r="Q64" s="181"/>
      <c r="R64" s="181"/>
      <c r="S64" s="181"/>
      <c r="T64" s="181"/>
      <c r="U64"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64" s="182">
        <f>ACOAETME2021[[#This Row],[TOTAL Non-Truncated Unadjusted Claims Expenses]]-ACOAETME2021[[#This Row],[Total Claims Excluded because of Truncation]]</f>
        <v>0</v>
      </c>
      <c r="W64"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64" s="182">
        <f>ACOAETME2021[[#This Row],[TOTAL Non-Truncated Unadjusted Claims Expenses]]+ACOAETME2021[[#This Row],[TOTAL Non-Claims Expenses]]</f>
        <v>0</v>
      </c>
      <c r="Y64" s="182">
        <f>ACOAETME2021[[#This Row],[TOTAL Truncated Unadjusted Claims Expenses (A19 - A17)]]+ACOAETME2021[[#This Row],[TOTAL Non-Claims Expenses]]</f>
        <v>0</v>
      </c>
      <c r="Z64" s="540" t="str">
        <f>IFERROR(ACOAETME2021[[#This Row],[TOTAL Non-Truncated Unadjusted Expenses 
(A19+A21)]]/ACOAETME2021[[#This Row],[Member Months]], "NA")</f>
        <v>NA</v>
      </c>
      <c r="AA64" s="232" t="str">
        <f>IFERROR(ACOAETME2021[[#This Row],[TOTAL Truncated Unadjusted Expenses (A20+A21)]]/ACOAETME2021[[#This Row],[Member Months]], "NA")</f>
        <v>NA</v>
      </c>
      <c r="AB64" s="504">
        <f>IFERROR(ACOAETME2021[[#This Row],[Total Claims Excluded because of Truncation]]/ACOAETME2021[[#This Row],[Count of Members with Claims Truncated]],0)</f>
        <v>0</v>
      </c>
      <c r="AC64" s="508">
        <f>IFERROR(ACOAETME2021[[#This Row],[Total Claims Excluded because of Truncation]]/ACOAETME2021[[#This Row],[TOTAL Non-Truncated Unadjusted Claims Expenses]],0)</f>
        <v>0</v>
      </c>
    </row>
    <row r="65" spans="1:29" x14ac:dyDescent="0.35">
      <c r="A65" s="176"/>
      <c r="B65" s="175"/>
      <c r="C65" s="179"/>
      <c r="D65" s="180"/>
      <c r="E65" s="181"/>
      <c r="F65" s="181"/>
      <c r="G65" s="181"/>
      <c r="H65" s="181"/>
      <c r="I65" s="181"/>
      <c r="J65" s="181"/>
      <c r="K65" s="181"/>
      <c r="L65" s="181"/>
      <c r="M65" s="181"/>
      <c r="N65" s="181"/>
      <c r="O65" s="181"/>
      <c r="P65" s="181"/>
      <c r="Q65" s="181"/>
      <c r="R65" s="181"/>
      <c r="S65" s="181"/>
      <c r="T65" s="181"/>
      <c r="U65"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65" s="182">
        <f>ACOAETME2021[[#This Row],[TOTAL Non-Truncated Unadjusted Claims Expenses]]-ACOAETME2021[[#This Row],[Total Claims Excluded because of Truncation]]</f>
        <v>0</v>
      </c>
      <c r="W65"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65" s="182">
        <f>ACOAETME2021[[#This Row],[TOTAL Non-Truncated Unadjusted Claims Expenses]]+ACOAETME2021[[#This Row],[TOTAL Non-Claims Expenses]]</f>
        <v>0</v>
      </c>
      <c r="Y65" s="182">
        <f>ACOAETME2021[[#This Row],[TOTAL Truncated Unadjusted Claims Expenses (A19 - A17)]]+ACOAETME2021[[#This Row],[TOTAL Non-Claims Expenses]]</f>
        <v>0</v>
      </c>
      <c r="Z65" s="540" t="str">
        <f>IFERROR(ACOAETME2021[[#This Row],[TOTAL Non-Truncated Unadjusted Expenses 
(A19+A21)]]/ACOAETME2021[[#This Row],[Member Months]], "NA")</f>
        <v>NA</v>
      </c>
      <c r="AA65" s="232" t="str">
        <f>IFERROR(ACOAETME2021[[#This Row],[TOTAL Truncated Unadjusted Expenses (A20+A21)]]/ACOAETME2021[[#This Row],[Member Months]], "NA")</f>
        <v>NA</v>
      </c>
      <c r="AB65" s="504">
        <f>IFERROR(ACOAETME2021[[#This Row],[Total Claims Excluded because of Truncation]]/ACOAETME2021[[#This Row],[Count of Members with Claims Truncated]],0)</f>
        <v>0</v>
      </c>
      <c r="AC65" s="508">
        <f>IFERROR(ACOAETME2021[[#This Row],[Total Claims Excluded because of Truncation]]/ACOAETME2021[[#This Row],[TOTAL Non-Truncated Unadjusted Claims Expenses]],0)</f>
        <v>0</v>
      </c>
    </row>
    <row r="66" spans="1:29" x14ac:dyDescent="0.35">
      <c r="A66" s="176"/>
      <c r="B66" s="175"/>
      <c r="C66" s="179"/>
      <c r="D66" s="180"/>
      <c r="E66" s="181"/>
      <c r="F66" s="181"/>
      <c r="G66" s="181"/>
      <c r="H66" s="181"/>
      <c r="I66" s="181"/>
      <c r="J66" s="181"/>
      <c r="K66" s="181"/>
      <c r="L66" s="181"/>
      <c r="M66" s="181"/>
      <c r="N66" s="181"/>
      <c r="O66" s="181"/>
      <c r="P66" s="181"/>
      <c r="Q66" s="181"/>
      <c r="R66" s="181"/>
      <c r="S66" s="181"/>
      <c r="T66" s="181"/>
      <c r="U66"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66" s="182">
        <f>ACOAETME2021[[#This Row],[TOTAL Non-Truncated Unadjusted Claims Expenses]]-ACOAETME2021[[#This Row],[Total Claims Excluded because of Truncation]]</f>
        <v>0</v>
      </c>
      <c r="W66"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66" s="182">
        <f>ACOAETME2021[[#This Row],[TOTAL Non-Truncated Unadjusted Claims Expenses]]+ACOAETME2021[[#This Row],[TOTAL Non-Claims Expenses]]</f>
        <v>0</v>
      </c>
      <c r="Y66" s="182">
        <f>ACOAETME2021[[#This Row],[TOTAL Truncated Unadjusted Claims Expenses (A19 - A17)]]+ACOAETME2021[[#This Row],[TOTAL Non-Claims Expenses]]</f>
        <v>0</v>
      </c>
      <c r="Z66" s="540" t="str">
        <f>IFERROR(ACOAETME2021[[#This Row],[TOTAL Non-Truncated Unadjusted Expenses 
(A19+A21)]]/ACOAETME2021[[#This Row],[Member Months]], "NA")</f>
        <v>NA</v>
      </c>
      <c r="AA66" s="232" t="str">
        <f>IFERROR(ACOAETME2021[[#This Row],[TOTAL Truncated Unadjusted Expenses (A20+A21)]]/ACOAETME2021[[#This Row],[Member Months]], "NA")</f>
        <v>NA</v>
      </c>
      <c r="AB66" s="504">
        <f>IFERROR(ACOAETME2021[[#This Row],[Total Claims Excluded because of Truncation]]/ACOAETME2021[[#This Row],[Count of Members with Claims Truncated]],0)</f>
        <v>0</v>
      </c>
      <c r="AC66" s="508">
        <f>IFERROR(ACOAETME2021[[#This Row],[Total Claims Excluded because of Truncation]]/ACOAETME2021[[#This Row],[TOTAL Non-Truncated Unadjusted Claims Expenses]],0)</f>
        <v>0</v>
      </c>
    </row>
    <row r="67" spans="1:29" x14ac:dyDescent="0.35">
      <c r="A67" s="176"/>
      <c r="B67" s="175"/>
      <c r="C67" s="179"/>
      <c r="D67" s="180"/>
      <c r="E67" s="181"/>
      <c r="F67" s="181"/>
      <c r="G67" s="181"/>
      <c r="H67" s="181"/>
      <c r="I67" s="181"/>
      <c r="J67" s="181"/>
      <c r="K67" s="181"/>
      <c r="L67" s="181"/>
      <c r="M67" s="181"/>
      <c r="N67" s="181"/>
      <c r="O67" s="181"/>
      <c r="P67" s="181"/>
      <c r="Q67" s="181"/>
      <c r="R67" s="181"/>
      <c r="S67" s="181"/>
      <c r="T67" s="181"/>
      <c r="U67"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67" s="182">
        <f>ACOAETME2021[[#This Row],[TOTAL Non-Truncated Unadjusted Claims Expenses]]-ACOAETME2021[[#This Row],[Total Claims Excluded because of Truncation]]</f>
        <v>0</v>
      </c>
      <c r="W67"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67" s="182">
        <f>ACOAETME2021[[#This Row],[TOTAL Non-Truncated Unadjusted Claims Expenses]]+ACOAETME2021[[#This Row],[TOTAL Non-Claims Expenses]]</f>
        <v>0</v>
      </c>
      <c r="Y67" s="182">
        <f>ACOAETME2021[[#This Row],[TOTAL Truncated Unadjusted Claims Expenses (A19 - A17)]]+ACOAETME2021[[#This Row],[TOTAL Non-Claims Expenses]]</f>
        <v>0</v>
      </c>
      <c r="Z67" s="540" t="str">
        <f>IFERROR(ACOAETME2021[[#This Row],[TOTAL Non-Truncated Unadjusted Expenses 
(A19+A21)]]/ACOAETME2021[[#This Row],[Member Months]], "NA")</f>
        <v>NA</v>
      </c>
      <c r="AA67" s="232" t="str">
        <f>IFERROR(ACOAETME2021[[#This Row],[TOTAL Truncated Unadjusted Expenses (A20+A21)]]/ACOAETME2021[[#This Row],[Member Months]], "NA")</f>
        <v>NA</v>
      </c>
      <c r="AB67" s="504">
        <f>IFERROR(ACOAETME2021[[#This Row],[Total Claims Excluded because of Truncation]]/ACOAETME2021[[#This Row],[Count of Members with Claims Truncated]],0)</f>
        <v>0</v>
      </c>
      <c r="AC67" s="508">
        <f>IFERROR(ACOAETME2021[[#This Row],[Total Claims Excluded because of Truncation]]/ACOAETME2021[[#This Row],[TOTAL Non-Truncated Unadjusted Claims Expenses]],0)</f>
        <v>0</v>
      </c>
    </row>
    <row r="68" spans="1:29" x14ac:dyDescent="0.35">
      <c r="A68" s="176"/>
      <c r="B68" s="175"/>
      <c r="C68" s="179"/>
      <c r="D68" s="180"/>
      <c r="E68" s="181"/>
      <c r="F68" s="181"/>
      <c r="G68" s="181"/>
      <c r="H68" s="181"/>
      <c r="I68" s="181"/>
      <c r="J68" s="181"/>
      <c r="K68" s="181"/>
      <c r="L68" s="181"/>
      <c r="M68" s="181"/>
      <c r="N68" s="181"/>
      <c r="O68" s="181"/>
      <c r="P68" s="181"/>
      <c r="Q68" s="181"/>
      <c r="R68" s="181"/>
      <c r="S68" s="181"/>
      <c r="T68" s="181"/>
      <c r="U68"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68" s="182">
        <f>ACOAETME2021[[#This Row],[TOTAL Non-Truncated Unadjusted Claims Expenses]]-ACOAETME2021[[#This Row],[Total Claims Excluded because of Truncation]]</f>
        <v>0</v>
      </c>
      <c r="W68"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68" s="182">
        <f>ACOAETME2021[[#This Row],[TOTAL Non-Truncated Unadjusted Claims Expenses]]+ACOAETME2021[[#This Row],[TOTAL Non-Claims Expenses]]</f>
        <v>0</v>
      </c>
      <c r="Y68" s="182">
        <f>ACOAETME2021[[#This Row],[TOTAL Truncated Unadjusted Claims Expenses (A19 - A17)]]+ACOAETME2021[[#This Row],[TOTAL Non-Claims Expenses]]</f>
        <v>0</v>
      </c>
      <c r="Z68" s="540" t="str">
        <f>IFERROR(ACOAETME2021[[#This Row],[TOTAL Non-Truncated Unadjusted Expenses 
(A19+A21)]]/ACOAETME2021[[#This Row],[Member Months]], "NA")</f>
        <v>NA</v>
      </c>
      <c r="AA68" s="232" t="str">
        <f>IFERROR(ACOAETME2021[[#This Row],[TOTAL Truncated Unadjusted Expenses (A20+A21)]]/ACOAETME2021[[#This Row],[Member Months]], "NA")</f>
        <v>NA</v>
      </c>
      <c r="AB68" s="504">
        <f>IFERROR(ACOAETME2021[[#This Row],[Total Claims Excluded because of Truncation]]/ACOAETME2021[[#This Row],[Count of Members with Claims Truncated]],0)</f>
        <v>0</v>
      </c>
      <c r="AC68" s="508">
        <f>IFERROR(ACOAETME2021[[#This Row],[Total Claims Excluded because of Truncation]]/ACOAETME2021[[#This Row],[TOTAL Non-Truncated Unadjusted Claims Expenses]],0)</f>
        <v>0</v>
      </c>
    </row>
    <row r="69" spans="1:29" x14ac:dyDescent="0.35">
      <c r="A69" s="176"/>
      <c r="B69" s="175"/>
      <c r="C69" s="179"/>
      <c r="D69" s="180"/>
      <c r="E69" s="181"/>
      <c r="F69" s="181"/>
      <c r="G69" s="181"/>
      <c r="H69" s="181"/>
      <c r="I69" s="181"/>
      <c r="J69" s="181"/>
      <c r="K69" s="181"/>
      <c r="L69" s="181"/>
      <c r="M69" s="181"/>
      <c r="N69" s="181"/>
      <c r="O69" s="181"/>
      <c r="P69" s="181"/>
      <c r="Q69" s="181"/>
      <c r="R69" s="181"/>
      <c r="S69" s="181"/>
      <c r="T69" s="181"/>
      <c r="U69"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69" s="182">
        <f>ACOAETME2021[[#This Row],[TOTAL Non-Truncated Unadjusted Claims Expenses]]-ACOAETME2021[[#This Row],[Total Claims Excluded because of Truncation]]</f>
        <v>0</v>
      </c>
      <c r="W69"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69" s="182">
        <f>ACOAETME2021[[#This Row],[TOTAL Non-Truncated Unadjusted Claims Expenses]]+ACOAETME2021[[#This Row],[TOTAL Non-Claims Expenses]]</f>
        <v>0</v>
      </c>
      <c r="Y69" s="182">
        <f>ACOAETME2021[[#This Row],[TOTAL Truncated Unadjusted Claims Expenses (A19 - A17)]]+ACOAETME2021[[#This Row],[TOTAL Non-Claims Expenses]]</f>
        <v>0</v>
      </c>
      <c r="Z69" s="540" t="str">
        <f>IFERROR(ACOAETME2021[[#This Row],[TOTAL Non-Truncated Unadjusted Expenses 
(A19+A21)]]/ACOAETME2021[[#This Row],[Member Months]], "NA")</f>
        <v>NA</v>
      </c>
      <c r="AA69" s="232" t="str">
        <f>IFERROR(ACOAETME2021[[#This Row],[TOTAL Truncated Unadjusted Expenses (A20+A21)]]/ACOAETME2021[[#This Row],[Member Months]], "NA")</f>
        <v>NA</v>
      </c>
      <c r="AB69" s="504">
        <f>IFERROR(ACOAETME2021[[#This Row],[Total Claims Excluded because of Truncation]]/ACOAETME2021[[#This Row],[Count of Members with Claims Truncated]],0)</f>
        <v>0</v>
      </c>
      <c r="AC69" s="508">
        <f>IFERROR(ACOAETME2021[[#This Row],[Total Claims Excluded because of Truncation]]/ACOAETME2021[[#This Row],[TOTAL Non-Truncated Unadjusted Claims Expenses]],0)</f>
        <v>0</v>
      </c>
    </row>
    <row r="70" spans="1:29" x14ac:dyDescent="0.35">
      <c r="A70" s="176"/>
      <c r="B70" s="175"/>
      <c r="C70" s="179"/>
      <c r="D70" s="180"/>
      <c r="E70" s="181"/>
      <c r="F70" s="181"/>
      <c r="G70" s="181"/>
      <c r="H70" s="181"/>
      <c r="I70" s="181"/>
      <c r="J70" s="181"/>
      <c r="K70" s="181"/>
      <c r="L70" s="181"/>
      <c r="M70" s="181"/>
      <c r="N70" s="181"/>
      <c r="O70" s="181"/>
      <c r="P70" s="181"/>
      <c r="Q70" s="181"/>
      <c r="R70" s="181"/>
      <c r="S70" s="181"/>
      <c r="T70" s="181"/>
      <c r="U70"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70" s="182">
        <f>ACOAETME2021[[#This Row],[TOTAL Non-Truncated Unadjusted Claims Expenses]]-ACOAETME2021[[#This Row],[Total Claims Excluded because of Truncation]]</f>
        <v>0</v>
      </c>
      <c r="W70"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70" s="182">
        <f>ACOAETME2021[[#This Row],[TOTAL Non-Truncated Unadjusted Claims Expenses]]+ACOAETME2021[[#This Row],[TOTAL Non-Claims Expenses]]</f>
        <v>0</v>
      </c>
      <c r="Y70" s="182">
        <f>ACOAETME2021[[#This Row],[TOTAL Truncated Unadjusted Claims Expenses (A19 - A17)]]+ACOAETME2021[[#This Row],[TOTAL Non-Claims Expenses]]</f>
        <v>0</v>
      </c>
      <c r="Z70" s="540" t="str">
        <f>IFERROR(ACOAETME2021[[#This Row],[TOTAL Non-Truncated Unadjusted Expenses 
(A19+A21)]]/ACOAETME2021[[#This Row],[Member Months]], "NA")</f>
        <v>NA</v>
      </c>
      <c r="AA70" s="232" t="str">
        <f>IFERROR(ACOAETME2021[[#This Row],[TOTAL Truncated Unadjusted Expenses (A20+A21)]]/ACOAETME2021[[#This Row],[Member Months]], "NA")</f>
        <v>NA</v>
      </c>
      <c r="AB70" s="504">
        <f>IFERROR(ACOAETME2021[[#This Row],[Total Claims Excluded because of Truncation]]/ACOAETME2021[[#This Row],[Count of Members with Claims Truncated]],0)</f>
        <v>0</v>
      </c>
      <c r="AC70" s="508">
        <f>IFERROR(ACOAETME2021[[#This Row],[Total Claims Excluded because of Truncation]]/ACOAETME2021[[#This Row],[TOTAL Non-Truncated Unadjusted Claims Expenses]],0)</f>
        <v>0</v>
      </c>
    </row>
    <row r="71" spans="1:29" x14ac:dyDescent="0.35">
      <c r="A71" s="176"/>
      <c r="B71" s="175"/>
      <c r="C71" s="179"/>
      <c r="D71" s="180"/>
      <c r="E71" s="181"/>
      <c r="F71" s="181"/>
      <c r="G71" s="181"/>
      <c r="H71" s="181"/>
      <c r="I71" s="181"/>
      <c r="J71" s="181"/>
      <c r="K71" s="181"/>
      <c r="L71" s="181"/>
      <c r="M71" s="181"/>
      <c r="N71" s="181"/>
      <c r="O71" s="181"/>
      <c r="P71" s="181"/>
      <c r="Q71" s="181"/>
      <c r="R71" s="181"/>
      <c r="S71" s="181"/>
      <c r="T71" s="181"/>
      <c r="U71"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71" s="182">
        <f>ACOAETME2021[[#This Row],[TOTAL Non-Truncated Unadjusted Claims Expenses]]-ACOAETME2021[[#This Row],[Total Claims Excluded because of Truncation]]</f>
        <v>0</v>
      </c>
      <c r="W71"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71" s="182">
        <f>ACOAETME2021[[#This Row],[TOTAL Non-Truncated Unadjusted Claims Expenses]]+ACOAETME2021[[#This Row],[TOTAL Non-Claims Expenses]]</f>
        <v>0</v>
      </c>
      <c r="Y71" s="182">
        <f>ACOAETME2021[[#This Row],[TOTAL Truncated Unadjusted Claims Expenses (A19 - A17)]]+ACOAETME2021[[#This Row],[TOTAL Non-Claims Expenses]]</f>
        <v>0</v>
      </c>
      <c r="Z71" s="540" t="str">
        <f>IFERROR(ACOAETME2021[[#This Row],[TOTAL Non-Truncated Unadjusted Expenses 
(A19+A21)]]/ACOAETME2021[[#This Row],[Member Months]], "NA")</f>
        <v>NA</v>
      </c>
      <c r="AA71" s="232" t="str">
        <f>IFERROR(ACOAETME2021[[#This Row],[TOTAL Truncated Unadjusted Expenses (A20+A21)]]/ACOAETME2021[[#This Row],[Member Months]], "NA")</f>
        <v>NA</v>
      </c>
      <c r="AB71" s="504">
        <f>IFERROR(ACOAETME2021[[#This Row],[Total Claims Excluded because of Truncation]]/ACOAETME2021[[#This Row],[Count of Members with Claims Truncated]],0)</f>
        <v>0</v>
      </c>
      <c r="AC71" s="508">
        <f>IFERROR(ACOAETME2021[[#This Row],[Total Claims Excluded because of Truncation]]/ACOAETME2021[[#This Row],[TOTAL Non-Truncated Unadjusted Claims Expenses]],0)</f>
        <v>0</v>
      </c>
    </row>
    <row r="72" spans="1:29" x14ac:dyDescent="0.35">
      <c r="A72" s="176"/>
      <c r="B72" s="175"/>
      <c r="C72" s="179"/>
      <c r="D72" s="180"/>
      <c r="E72" s="181"/>
      <c r="F72" s="181"/>
      <c r="G72" s="181"/>
      <c r="H72" s="181"/>
      <c r="I72" s="181"/>
      <c r="J72" s="181"/>
      <c r="K72" s="181"/>
      <c r="L72" s="181"/>
      <c r="M72" s="181"/>
      <c r="N72" s="181"/>
      <c r="O72" s="181"/>
      <c r="P72" s="181"/>
      <c r="Q72" s="181"/>
      <c r="R72" s="181"/>
      <c r="S72" s="181"/>
      <c r="T72" s="181"/>
      <c r="U72"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72" s="182">
        <f>ACOAETME2021[[#This Row],[TOTAL Non-Truncated Unadjusted Claims Expenses]]-ACOAETME2021[[#This Row],[Total Claims Excluded because of Truncation]]</f>
        <v>0</v>
      </c>
      <c r="W72"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72" s="182">
        <f>ACOAETME2021[[#This Row],[TOTAL Non-Truncated Unadjusted Claims Expenses]]+ACOAETME2021[[#This Row],[TOTAL Non-Claims Expenses]]</f>
        <v>0</v>
      </c>
      <c r="Y72" s="182">
        <f>ACOAETME2021[[#This Row],[TOTAL Truncated Unadjusted Claims Expenses (A19 - A17)]]+ACOAETME2021[[#This Row],[TOTAL Non-Claims Expenses]]</f>
        <v>0</v>
      </c>
      <c r="Z72" s="540" t="str">
        <f>IFERROR(ACOAETME2021[[#This Row],[TOTAL Non-Truncated Unadjusted Expenses 
(A19+A21)]]/ACOAETME2021[[#This Row],[Member Months]], "NA")</f>
        <v>NA</v>
      </c>
      <c r="AA72" s="232" t="str">
        <f>IFERROR(ACOAETME2021[[#This Row],[TOTAL Truncated Unadjusted Expenses (A20+A21)]]/ACOAETME2021[[#This Row],[Member Months]], "NA")</f>
        <v>NA</v>
      </c>
      <c r="AB72" s="504">
        <f>IFERROR(ACOAETME2021[[#This Row],[Total Claims Excluded because of Truncation]]/ACOAETME2021[[#This Row],[Count of Members with Claims Truncated]],0)</f>
        <v>0</v>
      </c>
      <c r="AC72" s="508">
        <f>IFERROR(ACOAETME2021[[#This Row],[Total Claims Excluded because of Truncation]]/ACOAETME2021[[#This Row],[TOTAL Non-Truncated Unadjusted Claims Expenses]],0)</f>
        <v>0</v>
      </c>
    </row>
    <row r="73" spans="1:29" x14ac:dyDescent="0.35">
      <c r="A73" s="176"/>
      <c r="B73" s="175"/>
      <c r="C73" s="179"/>
      <c r="D73" s="180"/>
      <c r="E73" s="181"/>
      <c r="F73" s="181"/>
      <c r="G73" s="181"/>
      <c r="H73" s="181"/>
      <c r="I73" s="181"/>
      <c r="J73" s="181"/>
      <c r="K73" s="181"/>
      <c r="L73" s="181"/>
      <c r="M73" s="181"/>
      <c r="N73" s="181"/>
      <c r="O73" s="181"/>
      <c r="P73" s="181"/>
      <c r="Q73" s="181"/>
      <c r="R73" s="181"/>
      <c r="S73" s="181"/>
      <c r="T73" s="181"/>
      <c r="U73"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73" s="182">
        <f>ACOAETME2021[[#This Row],[TOTAL Non-Truncated Unadjusted Claims Expenses]]-ACOAETME2021[[#This Row],[Total Claims Excluded because of Truncation]]</f>
        <v>0</v>
      </c>
      <c r="W73"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73" s="182">
        <f>ACOAETME2021[[#This Row],[TOTAL Non-Truncated Unadjusted Claims Expenses]]+ACOAETME2021[[#This Row],[TOTAL Non-Claims Expenses]]</f>
        <v>0</v>
      </c>
      <c r="Y73" s="182">
        <f>ACOAETME2021[[#This Row],[TOTAL Truncated Unadjusted Claims Expenses (A19 - A17)]]+ACOAETME2021[[#This Row],[TOTAL Non-Claims Expenses]]</f>
        <v>0</v>
      </c>
      <c r="Z73" s="540" t="str">
        <f>IFERROR(ACOAETME2021[[#This Row],[TOTAL Non-Truncated Unadjusted Expenses 
(A19+A21)]]/ACOAETME2021[[#This Row],[Member Months]], "NA")</f>
        <v>NA</v>
      </c>
      <c r="AA73" s="232" t="str">
        <f>IFERROR(ACOAETME2021[[#This Row],[TOTAL Truncated Unadjusted Expenses (A20+A21)]]/ACOAETME2021[[#This Row],[Member Months]], "NA")</f>
        <v>NA</v>
      </c>
      <c r="AB73" s="504">
        <f>IFERROR(ACOAETME2021[[#This Row],[Total Claims Excluded because of Truncation]]/ACOAETME2021[[#This Row],[Count of Members with Claims Truncated]],0)</f>
        <v>0</v>
      </c>
      <c r="AC73" s="508">
        <f>IFERROR(ACOAETME2021[[#This Row],[Total Claims Excluded because of Truncation]]/ACOAETME2021[[#This Row],[TOTAL Non-Truncated Unadjusted Claims Expenses]],0)</f>
        <v>0</v>
      </c>
    </row>
    <row r="74" spans="1:29" x14ac:dyDescent="0.35">
      <c r="A74" s="176"/>
      <c r="B74" s="175"/>
      <c r="C74" s="179"/>
      <c r="D74" s="180"/>
      <c r="E74" s="181"/>
      <c r="F74" s="181"/>
      <c r="G74" s="181"/>
      <c r="H74" s="181"/>
      <c r="I74" s="181"/>
      <c r="J74" s="181"/>
      <c r="K74" s="181"/>
      <c r="L74" s="181"/>
      <c r="M74" s="181"/>
      <c r="N74" s="181"/>
      <c r="O74" s="181"/>
      <c r="P74" s="181"/>
      <c r="Q74" s="181"/>
      <c r="R74" s="181"/>
      <c r="S74" s="181"/>
      <c r="T74" s="181"/>
      <c r="U74"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74" s="182">
        <f>ACOAETME2021[[#This Row],[TOTAL Non-Truncated Unadjusted Claims Expenses]]-ACOAETME2021[[#This Row],[Total Claims Excluded because of Truncation]]</f>
        <v>0</v>
      </c>
      <c r="W74"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74" s="182">
        <f>ACOAETME2021[[#This Row],[TOTAL Non-Truncated Unadjusted Claims Expenses]]+ACOAETME2021[[#This Row],[TOTAL Non-Claims Expenses]]</f>
        <v>0</v>
      </c>
      <c r="Y74" s="182">
        <f>ACOAETME2021[[#This Row],[TOTAL Truncated Unadjusted Claims Expenses (A19 - A17)]]+ACOAETME2021[[#This Row],[TOTAL Non-Claims Expenses]]</f>
        <v>0</v>
      </c>
      <c r="Z74" s="540" t="str">
        <f>IFERROR(ACOAETME2021[[#This Row],[TOTAL Non-Truncated Unadjusted Expenses 
(A19+A21)]]/ACOAETME2021[[#This Row],[Member Months]], "NA")</f>
        <v>NA</v>
      </c>
      <c r="AA74" s="232" t="str">
        <f>IFERROR(ACOAETME2021[[#This Row],[TOTAL Truncated Unadjusted Expenses (A20+A21)]]/ACOAETME2021[[#This Row],[Member Months]], "NA")</f>
        <v>NA</v>
      </c>
      <c r="AB74" s="504">
        <f>IFERROR(ACOAETME2021[[#This Row],[Total Claims Excluded because of Truncation]]/ACOAETME2021[[#This Row],[Count of Members with Claims Truncated]],0)</f>
        <v>0</v>
      </c>
      <c r="AC74" s="508">
        <f>IFERROR(ACOAETME2021[[#This Row],[Total Claims Excluded because of Truncation]]/ACOAETME2021[[#This Row],[TOTAL Non-Truncated Unadjusted Claims Expenses]],0)</f>
        <v>0</v>
      </c>
    </row>
    <row r="75" spans="1:29" x14ac:dyDescent="0.35">
      <c r="A75" s="176"/>
      <c r="B75" s="175"/>
      <c r="C75" s="179"/>
      <c r="D75" s="180"/>
      <c r="E75" s="181"/>
      <c r="F75" s="181"/>
      <c r="G75" s="181"/>
      <c r="H75" s="181"/>
      <c r="I75" s="181"/>
      <c r="J75" s="181"/>
      <c r="K75" s="181"/>
      <c r="L75" s="181"/>
      <c r="M75" s="181"/>
      <c r="N75" s="181"/>
      <c r="O75" s="181"/>
      <c r="P75" s="181"/>
      <c r="Q75" s="181"/>
      <c r="R75" s="181"/>
      <c r="S75" s="181"/>
      <c r="T75" s="181"/>
      <c r="U75"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75" s="182">
        <f>ACOAETME2021[[#This Row],[TOTAL Non-Truncated Unadjusted Claims Expenses]]-ACOAETME2021[[#This Row],[Total Claims Excluded because of Truncation]]</f>
        <v>0</v>
      </c>
      <c r="W75"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75" s="182">
        <f>ACOAETME2021[[#This Row],[TOTAL Non-Truncated Unadjusted Claims Expenses]]+ACOAETME2021[[#This Row],[TOTAL Non-Claims Expenses]]</f>
        <v>0</v>
      </c>
      <c r="Y75" s="182">
        <f>ACOAETME2021[[#This Row],[TOTAL Truncated Unadjusted Claims Expenses (A19 - A17)]]+ACOAETME2021[[#This Row],[TOTAL Non-Claims Expenses]]</f>
        <v>0</v>
      </c>
      <c r="Z75" s="540" t="str">
        <f>IFERROR(ACOAETME2021[[#This Row],[TOTAL Non-Truncated Unadjusted Expenses 
(A19+A21)]]/ACOAETME2021[[#This Row],[Member Months]], "NA")</f>
        <v>NA</v>
      </c>
      <c r="AA75" s="232" t="str">
        <f>IFERROR(ACOAETME2021[[#This Row],[TOTAL Truncated Unadjusted Expenses (A20+A21)]]/ACOAETME2021[[#This Row],[Member Months]], "NA")</f>
        <v>NA</v>
      </c>
      <c r="AB75" s="504">
        <f>IFERROR(ACOAETME2021[[#This Row],[Total Claims Excluded because of Truncation]]/ACOAETME2021[[#This Row],[Count of Members with Claims Truncated]],0)</f>
        <v>0</v>
      </c>
      <c r="AC75" s="508">
        <f>IFERROR(ACOAETME2021[[#This Row],[Total Claims Excluded because of Truncation]]/ACOAETME2021[[#This Row],[TOTAL Non-Truncated Unadjusted Claims Expenses]],0)</f>
        <v>0</v>
      </c>
    </row>
    <row r="76" spans="1:29" x14ac:dyDescent="0.35">
      <c r="A76" s="176"/>
      <c r="B76" s="175"/>
      <c r="C76" s="179"/>
      <c r="D76" s="180"/>
      <c r="E76" s="181"/>
      <c r="F76" s="181"/>
      <c r="G76" s="181"/>
      <c r="H76" s="181"/>
      <c r="I76" s="181"/>
      <c r="J76" s="181"/>
      <c r="K76" s="181"/>
      <c r="L76" s="181"/>
      <c r="M76" s="181"/>
      <c r="N76" s="181"/>
      <c r="O76" s="181"/>
      <c r="P76" s="181"/>
      <c r="Q76" s="181"/>
      <c r="R76" s="181"/>
      <c r="S76" s="181"/>
      <c r="T76" s="181"/>
      <c r="U76"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76" s="182">
        <f>ACOAETME2021[[#This Row],[TOTAL Non-Truncated Unadjusted Claims Expenses]]-ACOAETME2021[[#This Row],[Total Claims Excluded because of Truncation]]</f>
        <v>0</v>
      </c>
      <c r="W76"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76" s="182">
        <f>ACOAETME2021[[#This Row],[TOTAL Non-Truncated Unadjusted Claims Expenses]]+ACOAETME2021[[#This Row],[TOTAL Non-Claims Expenses]]</f>
        <v>0</v>
      </c>
      <c r="Y76" s="182">
        <f>ACOAETME2021[[#This Row],[TOTAL Truncated Unadjusted Claims Expenses (A19 - A17)]]+ACOAETME2021[[#This Row],[TOTAL Non-Claims Expenses]]</f>
        <v>0</v>
      </c>
      <c r="Z76" s="540" t="str">
        <f>IFERROR(ACOAETME2021[[#This Row],[TOTAL Non-Truncated Unadjusted Expenses 
(A19+A21)]]/ACOAETME2021[[#This Row],[Member Months]], "NA")</f>
        <v>NA</v>
      </c>
      <c r="AA76" s="232" t="str">
        <f>IFERROR(ACOAETME2021[[#This Row],[TOTAL Truncated Unadjusted Expenses (A20+A21)]]/ACOAETME2021[[#This Row],[Member Months]], "NA")</f>
        <v>NA</v>
      </c>
      <c r="AB76" s="504">
        <f>IFERROR(ACOAETME2021[[#This Row],[Total Claims Excluded because of Truncation]]/ACOAETME2021[[#This Row],[Count of Members with Claims Truncated]],0)</f>
        <v>0</v>
      </c>
      <c r="AC76" s="508">
        <f>IFERROR(ACOAETME2021[[#This Row],[Total Claims Excluded because of Truncation]]/ACOAETME2021[[#This Row],[TOTAL Non-Truncated Unadjusted Claims Expenses]],0)</f>
        <v>0</v>
      </c>
    </row>
    <row r="77" spans="1:29" x14ac:dyDescent="0.35">
      <c r="A77" s="176"/>
      <c r="B77" s="175"/>
      <c r="C77" s="179"/>
      <c r="D77" s="180"/>
      <c r="E77" s="181"/>
      <c r="F77" s="181"/>
      <c r="G77" s="181"/>
      <c r="H77" s="181"/>
      <c r="I77" s="181"/>
      <c r="J77" s="181"/>
      <c r="K77" s="181"/>
      <c r="L77" s="181"/>
      <c r="M77" s="181"/>
      <c r="N77" s="181"/>
      <c r="O77" s="181"/>
      <c r="P77" s="181"/>
      <c r="Q77" s="181"/>
      <c r="R77" s="181"/>
      <c r="S77" s="181"/>
      <c r="T77" s="181"/>
      <c r="U77"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77" s="182">
        <f>ACOAETME2021[[#This Row],[TOTAL Non-Truncated Unadjusted Claims Expenses]]-ACOAETME2021[[#This Row],[Total Claims Excluded because of Truncation]]</f>
        <v>0</v>
      </c>
      <c r="W77"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77" s="182">
        <f>ACOAETME2021[[#This Row],[TOTAL Non-Truncated Unadjusted Claims Expenses]]+ACOAETME2021[[#This Row],[TOTAL Non-Claims Expenses]]</f>
        <v>0</v>
      </c>
      <c r="Y77" s="182">
        <f>ACOAETME2021[[#This Row],[TOTAL Truncated Unadjusted Claims Expenses (A19 - A17)]]+ACOAETME2021[[#This Row],[TOTAL Non-Claims Expenses]]</f>
        <v>0</v>
      </c>
      <c r="Z77" s="540" t="str">
        <f>IFERROR(ACOAETME2021[[#This Row],[TOTAL Non-Truncated Unadjusted Expenses 
(A19+A21)]]/ACOAETME2021[[#This Row],[Member Months]], "NA")</f>
        <v>NA</v>
      </c>
      <c r="AA77" s="232" t="str">
        <f>IFERROR(ACOAETME2021[[#This Row],[TOTAL Truncated Unadjusted Expenses (A20+A21)]]/ACOAETME2021[[#This Row],[Member Months]], "NA")</f>
        <v>NA</v>
      </c>
      <c r="AB77" s="504">
        <f>IFERROR(ACOAETME2021[[#This Row],[Total Claims Excluded because of Truncation]]/ACOAETME2021[[#This Row],[Count of Members with Claims Truncated]],0)</f>
        <v>0</v>
      </c>
      <c r="AC77" s="508">
        <f>IFERROR(ACOAETME2021[[#This Row],[Total Claims Excluded because of Truncation]]/ACOAETME2021[[#This Row],[TOTAL Non-Truncated Unadjusted Claims Expenses]],0)</f>
        <v>0</v>
      </c>
    </row>
    <row r="78" spans="1:29" x14ac:dyDescent="0.35">
      <c r="A78" s="176"/>
      <c r="B78" s="175"/>
      <c r="C78" s="179"/>
      <c r="D78" s="180"/>
      <c r="E78" s="181"/>
      <c r="F78" s="181"/>
      <c r="G78" s="181"/>
      <c r="H78" s="181"/>
      <c r="I78" s="181"/>
      <c r="J78" s="181"/>
      <c r="K78" s="181"/>
      <c r="L78" s="181"/>
      <c r="M78" s="181"/>
      <c r="N78" s="181"/>
      <c r="O78" s="181"/>
      <c r="P78" s="181"/>
      <c r="Q78" s="181"/>
      <c r="R78" s="181"/>
      <c r="S78" s="181"/>
      <c r="T78" s="181"/>
      <c r="U78"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78" s="182">
        <f>ACOAETME2021[[#This Row],[TOTAL Non-Truncated Unadjusted Claims Expenses]]-ACOAETME2021[[#This Row],[Total Claims Excluded because of Truncation]]</f>
        <v>0</v>
      </c>
      <c r="W78"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78" s="182">
        <f>ACOAETME2021[[#This Row],[TOTAL Non-Truncated Unadjusted Claims Expenses]]+ACOAETME2021[[#This Row],[TOTAL Non-Claims Expenses]]</f>
        <v>0</v>
      </c>
      <c r="Y78" s="182">
        <f>ACOAETME2021[[#This Row],[TOTAL Truncated Unadjusted Claims Expenses (A19 - A17)]]+ACOAETME2021[[#This Row],[TOTAL Non-Claims Expenses]]</f>
        <v>0</v>
      </c>
      <c r="Z78" s="540" t="str">
        <f>IFERROR(ACOAETME2021[[#This Row],[TOTAL Non-Truncated Unadjusted Expenses 
(A19+A21)]]/ACOAETME2021[[#This Row],[Member Months]], "NA")</f>
        <v>NA</v>
      </c>
      <c r="AA78" s="232" t="str">
        <f>IFERROR(ACOAETME2021[[#This Row],[TOTAL Truncated Unadjusted Expenses (A20+A21)]]/ACOAETME2021[[#This Row],[Member Months]], "NA")</f>
        <v>NA</v>
      </c>
      <c r="AB78" s="504">
        <f>IFERROR(ACOAETME2021[[#This Row],[Total Claims Excluded because of Truncation]]/ACOAETME2021[[#This Row],[Count of Members with Claims Truncated]],0)</f>
        <v>0</v>
      </c>
      <c r="AC78" s="508">
        <f>IFERROR(ACOAETME2021[[#This Row],[Total Claims Excluded because of Truncation]]/ACOAETME2021[[#This Row],[TOTAL Non-Truncated Unadjusted Claims Expenses]],0)</f>
        <v>0</v>
      </c>
    </row>
    <row r="79" spans="1:29" x14ac:dyDescent="0.35">
      <c r="A79" s="176"/>
      <c r="B79" s="175"/>
      <c r="C79" s="179"/>
      <c r="D79" s="180"/>
      <c r="E79" s="181"/>
      <c r="F79" s="181"/>
      <c r="G79" s="181"/>
      <c r="H79" s="181"/>
      <c r="I79" s="181"/>
      <c r="J79" s="181"/>
      <c r="K79" s="181"/>
      <c r="L79" s="181"/>
      <c r="M79" s="181"/>
      <c r="N79" s="181"/>
      <c r="O79" s="181"/>
      <c r="P79" s="181"/>
      <c r="Q79" s="181"/>
      <c r="R79" s="181"/>
      <c r="S79" s="181"/>
      <c r="T79" s="181"/>
      <c r="U79"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79" s="182">
        <f>ACOAETME2021[[#This Row],[TOTAL Non-Truncated Unadjusted Claims Expenses]]-ACOAETME2021[[#This Row],[Total Claims Excluded because of Truncation]]</f>
        <v>0</v>
      </c>
      <c r="W79"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79" s="182">
        <f>ACOAETME2021[[#This Row],[TOTAL Non-Truncated Unadjusted Claims Expenses]]+ACOAETME2021[[#This Row],[TOTAL Non-Claims Expenses]]</f>
        <v>0</v>
      </c>
      <c r="Y79" s="182">
        <f>ACOAETME2021[[#This Row],[TOTAL Truncated Unadjusted Claims Expenses (A19 - A17)]]+ACOAETME2021[[#This Row],[TOTAL Non-Claims Expenses]]</f>
        <v>0</v>
      </c>
      <c r="Z79" s="540" t="str">
        <f>IFERROR(ACOAETME2021[[#This Row],[TOTAL Non-Truncated Unadjusted Expenses 
(A19+A21)]]/ACOAETME2021[[#This Row],[Member Months]], "NA")</f>
        <v>NA</v>
      </c>
      <c r="AA79" s="232" t="str">
        <f>IFERROR(ACOAETME2021[[#This Row],[TOTAL Truncated Unadjusted Expenses (A20+A21)]]/ACOAETME2021[[#This Row],[Member Months]], "NA")</f>
        <v>NA</v>
      </c>
      <c r="AB79" s="504">
        <f>IFERROR(ACOAETME2021[[#This Row],[Total Claims Excluded because of Truncation]]/ACOAETME2021[[#This Row],[Count of Members with Claims Truncated]],0)</f>
        <v>0</v>
      </c>
      <c r="AC79" s="508">
        <f>IFERROR(ACOAETME2021[[#This Row],[Total Claims Excluded because of Truncation]]/ACOAETME2021[[#This Row],[TOTAL Non-Truncated Unadjusted Claims Expenses]],0)</f>
        <v>0</v>
      </c>
    </row>
    <row r="80" spans="1:29" x14ac:dyDescent="0.35">
      <c r="A80" s="176"/>
      <c r="B80" s="175"/>
      <c r="C80" s="179"/>
      <c r="D80" s="180"/>
      <c r="E80" s="181"/>
      <c r="F80" s="181"/>
      <c r="G80" s="181"/>
      <c r="H80" s="181"/>
      <c r="I80" s="181"/>
      <c r="J80" s="181"/>
      <c r="K80" s="181"/>
      <c r="L80" s="181"/>
      <c r="M80" s="181"/>
      <c r="N80" s="181"/>
      <c r="O80" s="181"/>
      <c r="P80" s="181"/>
      <c r="Q80" s="181"/>
      <c r="R80" s="181"/>
      <c r="S80" s="181"/>
      <c r="T80" s="181"/>
      <c r="U80"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80" s="182">
        <f>ACOAETME2021[[#This Row],[TOTAL Non-Truncated Unadjusted Claims Expenses]]-ACOAETME2021[[#This Row],[Total Claims Excluded because of Truncation]]</f>
        <v>0</v>
      </c>
      <c r="W80"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80" s="182">
        <f>ACOAETME2021[[#This Row],[TOTAL Non-Truncated Unadjusted Claims Expenses]]+ACOAETME2021[[#This Row],[TOTAL Non-Claims Expenses]]</f>
        <v>0</v>
      </c>
      <c r="Y80" s="182">
        <f>ACOAETME2021[[#This Row],[TOTAL Truncated Unadjusted Claims Expenses (A19 - A17)]]+ACOAETME2021[[#This Row],[TOTAL Non-Claims Expenses]]</f>
        <v>0</v>
      </c>
      <c r="Z80" s="540" t="str">
        <f>IFERROR(ACOAETME2021[[#This Row],[TOTAL Non-Truncated Unadjusted Expenses 
(A19+A21)]]/ACOAETME2021[[#This Row],[Member Months]], "NA")</f>
        <v>NA</v>
      </c>
      <c r="AA80" s="232" t="str">
        <f>IFERROR(ACOAETME2021[[#This Row],[TOTAL Truncated Unadjusted Expenses (A20+A21)]]/ACOAETME2021[[#This Row],[Member Months]], "NA")</f>
        <v>NA</v>
      </c>
      <c r="AB80" s="504">
        <f>IFERROR(ACOAETME2021[[#This Row],[Total Claims Excluded because of Truncation]]/ACOAETME2021[[#This Row],[Count of Members with Claims Truncated]],0)</f>
        <v>0</v>
      </c>
      <c r="AC80" s="508">
        <f>IFERROR(ACOAETME2021[[#This Row],[Total Claims Excluded because of Truncation]]/ACOAETME2021[[#This Row],[TOTAL Non-Truncated Unadjusted Claims Expenses]],0)</f>
        <v>0</v>
      </c>
    </row>
    <row r="81" spans="1:29" x14ac:dyDescent="0.35">
      <c r="A81" s="176"/>
      <c r="B81" s="175"/>
      <c r="C81" s="179"/>
      <c r="D81" s="180"/>
      <c r="E81" s="181"/>
      <c r="F81" s="181"/>
      <c r="G81" s="181"/>
      <c r="H81" s="181"/>
      <c r="I81" s="181"/>
      <c r="J81" s="181"/>
      <c r="K81" s="181"/>
      <c r="L81" s="181"/>
      <c r="M81" s="181"/>
      <c r="N81" s="181"/>
      <c r="O81" s="181"/>
      <c r="P81" s="181"/>
      <c r="Q81" s="181"/>
      <c r="R81" s="181"/>
      <c r="S81" s="181"/>
      <c r="T81" s="181"/>
      <c r="U81"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81" s="182">
        <f>ACOAETME2021[[#This Row],[TOTAL Non-Truncated Unadjusted Claims Expenses]]-ACOAETME2021[[#This Row],[Total Claims Excluded because of Truncation]]</f>
        <v>0</v>
      </c>
      <c r="W81"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81" s="182">
        <f>ACOAETME2021[[#This Row],[TOTAL Non-Truncated Unadjusted Claims Expenses]]+ACOAETME2021[[#This Row],[TOTAL Non-Claims Expenses]]</f>
        <v>0</v>
      </c>
      <c r="Y81" s="182">
        <f>ACOAETME2021[[#This Row],[TOTAL Truncated Unadjusted Claims Expenses (A19 - A17)]]+ACOAETME2021[[#This Row],[TOTAL Non-Claims Expenses]]</f>
        <v>0</v>
      </c>
      <c r="Z81" s="540" t="str">
        <f>IFERROR(ACOAETME2021[[#This Row],[TOTAL Non-Truncated Unadjusted Expenses 
(A19+A21)]]/ACOAETME2021[[#This Row],[Member Months]], "NA")</f>
        <v>NA</v>
      </c>
      <c r="AA81" s="232" t="str">
        <f>IFERROR(ACOAETME2021[[#This Row],[TOTAL Truncated Unadjusted Expenses (A20+A21)]]/ACOAETME2021[[#This Row],[Member Months]], "NA")</f>
        <v>NA</v>
      </c>
      <c r="AB81" s="504">
        <f>IFERROR(ACOAETME2021[[#This Row],[Total Claims Excluded because of Truncation]]/ACOAETME2021[[#This Row],[Count of Members with Claims Truncated]],0)</f>
        <v>0</v>
      </c>
      <c r="AC81" s="508">
        <f>IFERROR(ACOAETME2021[[#This Row],[Total Claims Excluded because of Truncation]]/ACOAETME2021[[#This Row],[TOTAL Non-Truncated Unadjusted Claims Expenses]],0)</f>
        <v>0</v>
      </c>
    </row>
    <row r="82" spans="1:29" x14ac:dyDescent="0.35">
      <c r="A82" s="176"/>
      <c r="B82" s="175"/>
      <c r="C82" s="179"/>
      <c r="D82" s="180"/>
      <c r="E82" s="181"/>
      <c r="F82" s="181"/>
      <c r="G82" s="181"/>
      <c r="H82" s="181"/>
      <c r="I82" s="181"/>
      <c r="J82" s="181"/>
      <c r="K82" s="181"/>
      <c r="L82" s="181"/>
      <c r="M82" s="181"/>
      <c r="N82" s="181"/>
      <c r="O82" s="181"/>
      <c r="P82" s="181"/>
      <c r="Q82" s="181"/>
      <c r="R82" s="181"/>
      <c r="S82" s="181"/>
      <c r="T82" s="181"/>
      <c r="U82"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82" s="182">
        <f>ACOAETME2021[[#This Row],[TOTAL Non-Truncated Unadjusted Claims Expenses]]-ACOAETME2021[[#This Row],[Total Claims Excluded because of Truncation]]</f>
        <v>0</v>
      </c>
      <c r="W82"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82" s="182">
        <f>ACOAETME2021[[#This Row],[TOTAL Non-Truncated Unadjusted Claims Expenses]]+ACOAETME2021[[#This Row],[TOTAL Non-Claims Expenses]]</f>
        <v>0</v>
      </c>
      <c r="Y82" s="182">
        <f>ACOAETME2021[[#This Row],[TOTAL Truncated Unadjusted Claims Expenses (A19 - A17)]]+ACOAETME2021[[#This Row],[TOTAL Non-Claims Expenses]]</f>
        <v>0</v>
      </c>
      <c r="Z82" s="540" t="str">
        <f>IFERROR(ACOAETME2021[[#This Row],[TOTAL Non-Truncated Unadjusted Expenses 
(A19+A21)]]/ACOAETME2021[[#This Row],[Member Months]], "NA")</f>
        <v>NA</v>
      </c>
      <c r="AA82" s="232" t="str">
        <f>IFERROR(ACOAETME2021[[#This Row],[TOTAL Truncated Unadjusted Expenses (A20+A21)]]/ACOAETME2021[[#This Row],[Member Months]], "NA")</f>
        <v>NA</v>
      </c>
      <c r="AB82" s="504">
        <f>IFERROR(ACOAETME2021[[#This Row],[Total Claims Excluded because of Truncation]]/ACOAETME2021[[#This Row],[Count of Members with Claims Truncated]],0)</f>
        <v>0</v>
      </c>
      <c r="AC82" s="508">
        <f>IFERROR(ACOAETME2021[[#This Row],[Total Claims Excluded because of Truncation]]/ACOAETME2021[[#This Row],[TOTAL Non-Truncated Unadjusted Claims Expenses]],0)</f>
        <v>0</v>
      </c>
    </row>
    <row r="83" spans="1:29" x14ac:dyDescent="0.35">
      <c r="A83" s="176"/>
      <c r="B83" s="175"/>
      <c r="C83" s="179"/>
      <c r="D83" s="180"/>
      <c r="E83" s="181"/>
      <c r="F83" s="181"/>
      <c r="G83" s="181"/>
      <c r="H83" s="181"/>
      <c r="I83" s="181"/>
      <c r="J83" s="181"/>
      <c r="K83" s="181"/>
      <c r="L83" s="181"/>
      <c r="M83" s="181"/>
      <c r="N83" s="181"/>
      <c r="O83" s="181"/>
      <c r="P83" s="181"/>
      <c r="Q83" s="181"/>
      <c r="R83" s="181"/>
      <c r="S83" s="181"/>
      <c r="T83" s="181"/>
      <c r="U83"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83" s="182">
        <f>ACOAETME2021[[#This Row],[TOTAL Non-Truncated Unadjusted Claims Expenses]]-ACOAETME2021[[#This Row],[Total Claims Excluded because of Truncation]]</f>
        <v>0</v>
      </c>
      <c r="W83"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83" s="182">
        <f>ACOAETME2021[[#This Row],[TOTAL Non-Truncated Unadjusted Claims Expenses]]+ACOAETME2021[[#This Row],[TOTAL Non-Claims Expenses]]</f>
        <v>0</v>
      </c>
      <c r="Y83" s="182">
        <f>ACOAETME2021[[#This Row],[TOTAL Truncated Unadjusted Claims Expenses (A19 - A17)]]+ACOAETME2021[[#This Row],[TOTAL Non-Claims Expenses]]</f>
        <v>0</v>
      </c>
      <c r="Z83" s="540" t="str">
        <f>IFERROR(ACOAETME2021[[#This Row],[TOTAL Non-Truncated Unadjusted Expenses 
(A19+A21)]]/ACOAETME2021[[#This Row],[Member Months]], "NA")</f>
        <v>NA</v>
      </c>
      <c r="AA83" s="232" t="str">
        <f>IFERROR(ACOAETME2021[[#This Row],[TOTAL Truncated Unadjusted Expenses (A20+A21)]]/ACOAETME2021[[#This Row],[Member Months]], "NA")</f>
        <v>NA</v>
      </c>
      <c r="AB83" s="504">
        <f>IFERROR(ACOAETME2021[[#This Row],[Total Claims Excluded because of Truncation]]/ACOAETME2021[[#This Row],[Count of Members with Claims Truncated]],0)</f>
        <v>0</v>
      </c>
      <c r="AC83" s="508">
        <f>IFERROR(ACOAETME2021[[#This Row],[Total Claims Excluded because of Truncation]]/ACOAETME2021[[#This Row],[TOTAL Non-Truncated Unadjusted Claims Expenses]],0)</f>
        <v>0</v>
      </c>
    </row>
    <row r="84" spans="1:29" x14ac:dyDescent="0.35">
      <c r="A84" s="176"/>
      <c r="B84" s="175"/>
      <c r="C84" s="179"/>
      <c r="D84" s="180"/>
      <c r="E84" s="181"/>
      <c r="F84" s="181"/>
      <c r="G84" s="181"/>
      <c r="H84" s="181"/>
      <c r="I84" s="181"/>
      <c r="J84" s="181"/>
      <c r="K84" s="181"/>
      <c r="L84" s="181"/>
      <c r="M84" s="181"/>
      <c r="N84" s="181"/>
      <c r="O84" s="181"/>
      <c r="P84" s="181"/>
      <c r="Q84" s="181"/>
      <c r="R84" s="181"/>
      <c r="S84" s="181"/>
      <c r="T84" s="181"/>
      <c r="U84"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84" s="182">
        <f>ACOAETME2021[[#This Row],[TOTAL Non-Truncated Unadjusted Claims Expenses]]-ACOAETME2021[[#This Row],[Total Claims Excluded because of Truncation]]</f>
        <v>0</v>
      </c>
      <c r="W84"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84" s="182">
        <f>ACOAETME2021[[#This Row],[TOTAL Non-Truncated Unadjusted Claims Expenses]]+ACOAETME2021[[#This Row],[TOTAL Non-Claims Expenses]]</f>
        <v>0</v>
      </c>
      <c r="Y84" s="182">
        <f>ACOAETME2021[[#This Row],[TOTAL Truncated Unadjusted Claims Expenses (A19 - A17)]]+ACOAETME2021[[#This Row],[TOTAL Non-Claims Expenses]]</f>
        <v>0</v>
      </c>
      <c r="Z84" s="540" t="str">
        <f>IFERROR(ACOAETME2021[[#This Row],[TOTAL Non-Truncated Unadjusted Expenses 
(A19+A21)]]/ACOAETME2021[[#This Row],[Member Months]], "NA")</f>
        <v>NA</v>
      </c>
      <c r="AA84" s="232" t="str">
        <f>IFERROR(ACOAETME2021[[#This Row],[TOTAL Truncated Unadjusted Expenses (A20+A21)]]/ACOAETME2021[[#This Row],[Member Months]], "NA")</f>
        <v>NA</v>
      </c>
      <c r="AB84" s="504">
        <f>IFERROR(ACOAETME2021[[#This Row],[Total Claims Excluded because of Truncation]]/ACOAETME2021[[#This Row],[Count of Members with Claims Truncated]],0)</f>
        <v>0</v>
      </c>
      <c r="AC84" s="508">
        <f>IFERROR(ACOAETME2021[[#This Row],[Total Claims Excluded because of Truncation]]/ACOAETME2021[[#This Row],[TOTAL Non-Truncated Unadjusted Claims Expenses]],0)</f>
        <v>0</v>
      </c>
    </row>
    <row r="85" spans="1:29" x14ac:dyDescent="0.35">
      <c r="A85" s="176"/>
      <c r="B85" s="175"/>
      <c r="C85" s="179"/>
      <c r="D85" s="180"/>
      <c r="E85" s="181"/>
      <c r="F85" s="181"/>
      <c r="G85" s="181"/>
      <c r="H85" s="181"/>
      <c r="I85" s="181"/>
      <c r="J85" s="181"/>
      <c r="K85" s="181"/>
      <c r="L85" s="181"/>
      <c r="M85" s="181"/>
      <c r="N85" s="181"/>
      <c r="O85" s="181"/>
      <c r="P85" s="181"/>
      <c r="Q85" s="181"/>
      <c r="R85" s="181"/>
      <c r="S85" s="181"/>
      <c r="T85" s="181"/>
      <c r="U85"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85" s="182">
        <f>ACOAETME2021[[#This Row],[TOTAL Non-Truncated Unadjusted Claims Expenses]]-ACOAETME2021[[#This Row],[Total Claims Excluded because of Truncation]]</f>
        <v>0</v>
      </c>
      <c r="W85"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85" s="182">
        <f>ACOAETME2021[[#This Row],[TOTAL Non-Truncated Unadjusted Claims Expenses]]+ACOAETME2021[[#This Row],[TOTAL Non-Claims Expenses]]</f>
        <v>0</v>
      </c>
      <c r="Y85" s="182">
        <f>ACOAETME2021[[#This Row],[TOTAL Truncated Unadjusted Claims Expenses (A19 - A17)]]+ACOAETME2021[[#This Row],[TOTAL Non-Claims Expenses]]</f>
        <v>0</v>
      </c>
      <c r="Z85" s="540" t="str">
        <f>IFERROR(ACOAETME2021[[#This Row],[TOTAL Non-Truncated Unadjusted Expenses 
(A19+A21)]]/ACOAETME2021[[#This Row],[Member Months]], "NA")</f>
        <v>NA</v>
      </c>
      <c r="AA85" s="232" t="str">
        <f>IFERROR(ACOAETME2021[[#This Row],[TOTAL Truncated Unadjusted Expenses (A20+A21)]]/ACOAETME2021[[#This Row],[Member Months]], "NA")</f>
        <v>NA</v>
      </c>
      <c r="AB85" s="504">
        <f>IFERROR(ACOAETME2021[[#This Row],[Total Claims Excluded because of Truncation]]/ACOAETME2021[[#This Row],[Count of Members with Claims Truncated]],0)</f>
        <v>0</v>
      </c>
      <c r="AC85" s="508">
        <f>IFERROR(ACOAETME2021[[#This Row],[Total Claims Excluded because of Truncation]]/ACOAETME2021[[#This Row],[TOTAL Non-Truncated Unadjusted Claims Expenses]],0)</f>
        <v>0</v>
      </c>
    </row>
    <row r="86" spans="1:29" x14ac:dyDescent="0.35">
      <c r="A86" s="176"/>
      <c r="B86" s="175"/>
      <c r="C86" s="179"/>
      <c r="D86" s="180"/>
      <c r="E86" s="181"/>
      <c r="F86" s="181"/>
      <c r="G86" s="181"/>
      <c r="H86" s="181"/>
      <c r="I86" s="181"/>
      <c r="J86" s="181"/>
      <c r="K86" s="181"/>
      <c r="L86" s="181"/>
      <c r="M86" s="181"/>
      <c r="N86" s="181"/>
      <c r="O86" s="181"/>
      <c r="P86" s="181"/>
      <c r="Q86" s="181"/>
      <c r="R86" s="181"/>
      <c r="S86" s="181"/>
      <c r="T86" s="181"/>
      <c r="U86"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86" s="182">
        <f>ACOAETME2021[[#This Row],[TOTAL Non-Truncated Unadjusted Claims Expenses]]-ACOAETME2021[[#This Row],[Total Claims Excluded because of Truncation]]</f>
        <v>0</v>
      </c>
      <c r="W86"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86" s="182">
        <f>ACOAETME2021[[#This Row],[TOTAL Non-Truncated Unadjusted Claims Expenses]]+ACOAETME2021[[#This Row],[TOTAL Non-Claims Expenses]]</f>
        <v>0</v>
      </c>
      <c r="Y86" s="182">
        <f>ACOAETME2021[[#This Row],[TOTAL Truncated Unadjusted Claims Expenses (A19 - A17)]]+ACOAETME2021[[#This Row],[TOTAL Non-Claims Expenses]]</f>
        <v>0</v>
      </c>
      <c r="Z86" s="540" t="str">
        <f>IFERROR(ACOAETME2021[[#This Row],[TOTAL Non-Truncated Unadjusted Expenses 
(A19+A21)]]/ACOAETME2021[[#This Row],[Member Months]], "NA")</f>
        <v>NA</v>
      </c>
      <c r="AA86" s="232" t="str">
        <f>IFERROR(ACOAETME2021[[#This Row],[TOTAL Truncated Unadjusted Expenses (A20+A21)]]/ACOAETME2021[[#This Row],[Member Months]], "NA")</f>
        <v>NA</v>
      </c>
      <c r="AB86" s="504">
        <f>IFERROR(ACOAETME2021[[#This Row],[Total Claims Excluded because of Truncation]]/ACOAETME2021[[#This Row],[Count of Members with Claims Truncated]],0)</f>
        <v>0</v>
      </c>
      <c r="AC86" s="508">
        <f>IFERROR(ACOAETME2021[[#This Row],[Total Claims Excluded because of Truncation]]/ACOAETME2021[[#This Row],[TOTAL Non-Truncated Unadjusted Claims Expenses]],0)</f>
        <v>0</v>
      </c>
    </row>
    <row r="87" spans="1:29" x14ac:dyDescent="0.35">
      <c r="A87" s="176"/>
      <c r="B87" s="175"/>
      <c r="C87" s="179"/>
      <c r="D87" s="180"/>
      <c r="E87" s="181"/>
      <c r="F87" s="181"/>
      <c r="G87" s="181"/>
      <c r="H87" s="181"/>
      <c r="I87" s="181"/>
      <c r="J87" s="181"/>
      <c r="K87" s="181"/>
      <c r="L87" s="181"/>
      <c r="M87" s="181"/>
      <c r="N87" s="181"/>
      <c r="O87" s="181"/>
      <c r="P87" s="181"/>
      <c r="Q87" s="181"/>
      <c r="R87" s="181"/>
      <c r="S87" s="181"/>
      <c r="T87" s="181"/>
      <c r="U87"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87" s="182">
        <f>ACOAETME2021[[#This Row],[TOTAL Non-Truncated Unadjusted Claims Expenses]]-ACOAETME2021[[#This Row],[Total Claims Excluded because of Truncation]]</f>
        <v>0</v>
      </c>
      <c r="W87"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87" s="182">
        <f>ACOAETME2021[[#This Row],[TOTAL Non-Truncated Unadjusted Claims Expenses]]+ACOAETME2021[[#This Row],[TOTAL Non-Claims Expenses]]</f>
        <v>0</v>
      </c>
      <c r="Y87" s="182">
        <f>ACOAETME2021[[#This Row],[TOTAL Truncated Unadjusted Claims Expenses (A19 - A17)]]+ACOAETME2021[[#This Row],[TOTAL Non-Claims Expenses]]</f>
        <v>0</v>
      </c>
      <c r="Z87" s="540" t="str">
        <f>IFERROR(ACOAETME2021[[#This Row],[TOTAL Non-Truncated Unadjusted Expenses 
(A19+A21)]]/ACOAETME2021[[#This Row],[Member Months]], "NA")</f>
        <v>NA</v>
      </c>
      <c r="AA87" s="232" t="str">
        <f>IFERROR(ACOAETME2021[[#This Row],[TOTAL Truncated Unadjusted Expenses (A20+A21)]]/ACOAETME2021[[#This Row],[Member Months]], "NA")</f>
        <v>NA</v>
      </c>
      <c r="AB87" s="504">
        <f>IFERROR(ACOAETME2021[[#This Row],[Total Claims Excluded because of Truncation]]/ACOAETME2021[[#This Row],[Count of Members with Claims Truncated]],0)</f>
        <v>0</v>
      </c>
      <c r="AC87" s="508">
        <f>IFERROR(ACOAETME2021[[#This Row],[Total Claims Excluded because of Truncation]]/ACOAETME2021[[#This Row],[TOTAL Non-Truncated Unadjusted Claims Expenses]],0)</f>
        <v>0</v>
      </c>
    </row>
    <row r="88" spans="1:29" x14ac:dyDescent="0.35">
      <c r="A88" s="176"/>
      <c r="B88" s="175"/>
      <c r="C88" s="179"/>
      <c r="D88" s="180"/>
      <c r="E88" s="181"/>
      <c r="F88" s="181"/>
      <c r="G88" s="181"/>
      <c r="H88" s="181"/>
      <c r="I88" s="181"/>
      <c r="J88" s="181"/>
      <c r="K88" s="181"/>
      <c r="L88" s="181"/>
      <c r="M88" s="181"/>
      <c r="N88" s="181"/>
      <c r="O88" s="181"/>
      <c r="P88" s="181"/>
      <c r="Q88" s="181"/>
      <c r="R88" s="181"/>
      <c r="S88" s="181"/>
      <c r="T88" s="181"/>
      <c r="U88"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88" s="182">
        <f>ACOAETME2021[[#This Row],[TOTAL Non-Truncated Unadjusted Claims Expenses]]-ACOAETME2021[[#This Row],[Total Claims Excluded because of Truncation]]</f>
        <v>0</v>
      </c>
      <c r="W88"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88" s="182">
        <f>ACOAETME2021[[#This Row],[TOTAL Non-Truncated Unadjusted Claims Expenses]]+ACOAETME2021[[#This Row],[TOTAL Non-Claims Expenses]]</f>
        <v>0</v>
      </c>
      <c r="Y88" s="182">
        <f>ACOAETME2021[[#This Row],[TOTAL Truncated Unadjusted Claims Expenses (A19 - A17)]]+ACOAETME2021[[#This Row],[TOTAL Non-Claims Expenses]]</f>
        <v>0</v>
      </c>
      <c r="Z88" s="540" t="str">
        <f>IFERROR(ACOAETME2021[[#This Row],[TOTAL Non-Truncated Unadjusted Expenses 
(A19+A21)]]/ACOAETME2021[[#This Row],[Member Months]], "NA")</f>
        <v>NA</v>
      </c>
      <c r="AA88" s="232" t="str">
        <f>IFERROR(ACOAETME2021[[#This Row],[TOTAL Truncated Unadjusted Expenses (A20+A21)]]/ACOAETME2021[[#This Row],[Member Months]], "NA")</f>
        <v>NA</v>
      </c>
      <c r="AB88" s="504">
        <f>IFERROR(ACOAETME2021[[#This Row],[Total Claims Excluded because of Truncation]]/ACOAETME2021[[#This Row],[Count of Members with Claims Truncated]],0)</f>
        <v>0</v>
      </c>
      <c r="AC88" s="508">
        <f>IFERROR(ACOAETME2021[[#This Row],[Total Claims Excluded because of Truncation]]/ACOAETME2021[[#This Row],[TOTAL Non-Truncated Unadjusted Claims Expenses]],0)</f>
        <v>0</v>
      </c>
    </row>
    <row r="89" spans="1:29" x14ac:dyDescent="0.35">
      <c r="A89" s="176"/>
      <c r="B89" s="175"/>
      <c r="C89" s="179"/>
      <c r="D89" s="180"/>
      <c r="E89" s="181"/>
      <c r="F89" s="181"/>
      <c r="G89" s="181"/>
      <c r="H89" s="181"/>
      <c r="I89" s="181"/>
      <c r="J89" s="181"/>
      <c r="K89" s="181"/>
      <c r="L89" s="181"/>
      <c r="M89" s="181"/>
      <c r="N89" s="181"/>
      <c r="O89" s="181"/>
      <c r="P89" s="181"/>
      <c r="Q89" s="181"/>
      <c r="R89" s="181"/>
      <c r="S89" s="181"/>
      <c r="T89" s="181"/>
      <c r="U89"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89" s="182">
        <f>ACOAETME2021[[#This Row],[TOTAL Non-Truncated Unadjusted Claims Expenses]]-ACOAETME2021[[#This Row],[Total Claims Excluded because of Truncation]]</f>
        <v>0</v>
      </c>
      <c r="W89"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89" s="182">
        <f>ACOAETME2021[[#This Row],[TOTAL Non-Truncated Unadjusted Claims Expenses]]+ACOAETME2021[[#This Row],[TOTAL Non-Claims Expenses]]</f>
        <v>0</v>
      </c>
      <c r="Y89" s="182">
        <f>ACOAETME2021[[#This Row],[TOTAL Truncated Unadjusted Claims Expenses (A19 - A17)]]+ACOAETME2021[[#This Row],[TOTAL Non-Claims Expenses]]</f>
        <v>0</v>
      </c>
      <c r="Z89" s="540" t="str">
        <f>IFERROR(ACOAETME2021[[#This Row],[TOTAL Non-Truncated Unadjusted Expenses 
(A19+A21)]]/ACOAETME2021[[#This Row],[Member Months]], "NA")</f>
        <v>NA</v>
      </c>
      <c r="AA89" s="232" t="str">
        <f>IFERROR(ACOAETME2021[[#This Row],[TOTAL Truncated Unadjusted Expenses (A20+A21)]]/ACOAETME2021[[#This Row],[Member Months]], "NA")</f>
        <v>NA</v>
      </c>
      <c r="AB89" s="504">
        <f>IFERROR(ACOAETME2021[[#This Row],[Total Claims Excluded because of Truncation]]/ACOAETME2021[[#This Row],[Count of Members with Claims Truncated]],0)</f>
        <v>0</v>
      </c>
      <c r="AC89" s="508">
        <f>IFERROR(ACOAETME2021[[#This Row],[Total Claims Excluded because of Truncation]]/ACOAETME2021[[#This Row],[TOTAL Non-Truncated Unadjusted Claims Expenses]],0)</f>
        <v>0</v>
      </c>
    </row>
    <row r="90" spans="1:29" x14ac:dyDescent="0.35">
      <c r="A90" s="176"/>
      <c r="B90" s="175"/>
      <c r="C90" s="179"/>
      <c r="D90" s="180"/>
      <c r="E90" s="181"/>
      <c r="F90" s="181"/>
      <c r="G90" s="181"/>
      <c r="H90" s="181"/>
      <c r="I90" s="181"/>
      <c r="J90" s="181"/>
      <c r="K90" s="181"/>
      <c r="L90" s="181"/>
      <c r="M90" s="181"/>
      <c r="N90" s="181"/>
      <c r="O90" s="181"/>
      <c r="P90" s="181"/>
      <c r="Q90" s="181"/>
      <c r="R90" s="181"/>
      <c r="S90" s="181"/>
      <c r="T90" s="181"/>
      <c r="U90"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90" s="182">
        <f>ACOAETME2021[[#This Row],[TOTAL Non-Truncated Unadjusted Claims Expenses]]-ACOAETME2021[[#This Row],[Total Claims Excluded because of Truncation]]</f>
        <v>0</v>
      </c>
      <c r="W90"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90" s="182">
        <f>ACOAETME2021[[#This Row],[TOTAL Non-Truncated Unadjusted Claims Expenses]]+ACOAETME2021[[#This Row],[TOTAL Non-Claims Expenses]]</f>
        <v>0</v>
      </c>
      <c r="Y90" s="182">
        <f>ACOAETME2021[[#This Row],[TOTAL Truncated Unadjusted Claims Expenses (A19 - A17)]]+ACOAETME2021[[#This Row],[TOTAL Non-Claims Expenses]]</f>
        <v>0</v>
      </c>
      <c r="Z90" s="540" t="str">
        <f>IFERROR(ACOAETME2021[[#This Row],[TOTAL Non-Truncated Unadjusted Expenses 
(A19+A21)]]/ACOAETME2021[[#This Row],[Member Months]], "NA")</f>
        <v>NA</v>
      </c>
      <c r="AA90" s="232" t="str">
        <f>IFERROR(ACOAETME2021[[#This Row],[TOTAL Truncated Unadjusted Expenses (A20+A21)]]/ACOAETME2021[[#This Row],[Member Months]], "NA")</f>
        <v>NA</v>
      </c>
      <c r="AB90" s="504">
        <f>IFERROR(ACOAETME2021[[#This Row],[Total Claims Excluded because of Truncation]]/ACOAETME2021[[#This Row],[Count of Members with Claims Truncated]],0)</f>
        <v>0</v>
      </c>
      <c r="AC90" s="508">
        <f>IFERROR(ACOAETME2021[[#This Row],[Total Claims Excluded because of Truncation]]/ACOAETME2021[[#This Row],[TOTAL Non-Truncated Unadjusted Claims Expenses]],0)</f>
        <v>0</v>
      </c>
    </row>
    <row r="91" spans="1:29" x14ac:dyDescent="0.35">
      <c r="A91" s="176"/>
      <c r="B91" s="175"/>
      <c r="C91" s="179"/>
      <c r="D91" s="180"/>
      <c r="E91" s="181"/>
      <c r="F91" s="181"/>
      <c r="G91" s="181"/>
      <c r="H91" s="181"/>
      <c r="I91" s="181"/>
      <c r="J91" s="181"/>
      <c r="K91" s="181"/>
      <c r="L91" s="181"/>
      <c r="M91" s="181"/>
      <c r="N91" s="181"/>
      <c r="O91" s="181"/>
      <c r="P91" s="181"/>
      <c r="Q91" s="181"/>
      <c r="R91" s="181"/>
      <c r="S91" s="181"/>
      <c r="T91" s="181"/>
      <c r="U91"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91" s="182">
        <f>ACOAETME2021[[#This Row],[TOTAL Non-Truncated Unadjusted Claims Expenses]]-ACOAETME2021[[#This Row],[Total Claims Excluded because of Truncation]]</f>
        <v>0</v>
      </c>
      <c r="W91"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91" s="182">
        <f>ACOAETME2021[[#This Row],[TOTAL Non-Truncated Unadjusted Claims Expenses]]+ACOAETME2021[[#This Row],[TOTAL Non-Claims Expenses]]</f>
        <v>0</v>
      </c>
      <c r="Y91" s="182">
        <f>ACOAETME2021[[#This Row],[TOTAL Truncated Unadjusted Claims Expenses (A19 - A17)]]+ACOAETME2021[[#This Row],[TOTAL Non-Claims Expenses]]</f>
        <v>0</v>
      </c>
      <c r="Z91" s="540" t="str">
        <f>IFERROR(ACOAETME2021[[#This Row],[TOTAL Non-Truncated Unadjusted Expenses 
(A19+A21)]]/ACOAETME2021[[#This Row],[Member Months]], "NA")</f>
        <v>NA</v>
      </c>
      <c r="AA91" s="232" t="str">
        <f>IFERROR(ACOAETME2021[[#This Row],[TOTAL Truncated Unadjusted Expenses (A20+A21)]]/ACOAETME2021[[#This Row],[Member Months]], "NA")</f>
        <v>NA</v>
      </c>
      <c r="AB91" s="504">
        <f>IFERROR(ACOAETME2021[[#This Row],[Total Claims Excluded because of Truncation]]/ACOAETME2021[[#This Row],[Count of Members with Claims Truncated]],0)</f>
        <v>0</v>
      </c>
      <c r="AC91" s="508">
        <f>IFERROR(ACOAETME2021[[#This Row],[Total Claims Excluded because of Truncation]]/ACOAETME2021[[#This Row],[TOTAL Non-Truncated Unadjusted Claims Expenses]],0)</f>
        <v>0</v>
      </c>
    </row>
    <row r="92" spans="1:29" x14ac:dyDescent="0.35">
      <c r="A92" s="176"/>
      <c r="B92" s="175"/>
      <c r="C92" s="179"/>
      <c r="D92" s="180"/>
      <c r="E92" s="181"/>
      <c r="F92" s="181"/>
      <c r="G92" s="181"/>
      <c r="H92" s="181"/>
      <c r="I92" s="181"/>
      <c r="J92" s="181"/>
      <c r="K92" s="181"/>
      <c r="L92" s="181"/>
      <c r="M92" s="181"/>
      <c r="N92" s="181"/>
      <c r="O92" s="181"/>
      <c r="P92" s="181"/>
      <c r="Q92" s="181"/>
      <c r="R92" s="181"/>
      <c r="S92" s="181"/>
      <c r="T92" s="181"/>
      <c r="U92"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92" s="182">
        <f>ACOAETME2021[[#This Row],[TOTAL Non-Truncated Unadjusted Claims Expenses]]-ACOAETME2021[[#This Row],[Total Claims Excluded because of Truncation]]</f>
        <v>0</v>
      </c>
      <c r="W92"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92" s="182">
        <f>ACOAETME2021[[#This Row],[TOTAL Non-Truncated Unadjusted Claims Expenses]]+ACOAETME2021[[#This Row],[TOTAL Non-Claims Expenses]]</f>
        <v>0</v>
      </c>
      <c r="Y92" s="182">
        <f>ACOAETME2021[[#This Row],[TOTAL Truncated Unadjusted Claims Expenses (A19 - A17)]]+ACOAETME2021[[#This Row],[TOTAL Non-Claims Expenses]]</f>
        <v>0</v>
      </c>
      <c r="Z92" s="540" t="str">
        <f>IFERROR(ACOAETME2021[[#This Row],[TOTAL Non-Truncated Unadjusted Expenses 
(A19+A21)]]/ACOAETME2021[[#This Row],[Member Months]], "NA")</f>
        <v>NA</v>
      </c>
      <c r="AA92" s="232" t="str">
        <f>IFERROR(ACOAETME2021[[#This Row],[TOTAL Truncated Unadjusted Expenses (A20+A21)]]/ACOAETME2021[[#This Row],[Member Months]], "NA")</f>
        <v>NA</v>
      </c>
      <c r="AB92" s="504">
        <f>IFERROR(ACOAETME2021[[#This Row],[Total Claims Excluded because of Truncation]]/ACOAETME2021[[#This Row],[Count of Members with Claims Truncated]],0)</f>
        <v>0</v>
      </c>
      <c r="AC92" s="508">
        <f>IFERROR(ACOAETME2021[[#This Row],[Total Claims Excluded because of Truncation]]/ACOAETME2021[[#This Row],[TOTAL Non-Truncated Unadjusted Claims Expenses]],0)</f>
        <v>0</v>
      </c>
    </row>
    <row r="93" spans="1:29" x14ac:dyDescent="0.35">
      <c r="A93" s="176"/>
      <c r="B93" s="175"/>
      <c r="C93" s="179"/>
      <c r="D93" s="180"/>
      <c r="E93" s="181"/>
      <c r="F93" s="181"/>
      <c r="G93" s="181"/>
      <c r="H93" s="181"/>
      <c r="I93" s="181"/>
      <c r="J93" s="181"/>
      <c r="K93" s="181"/>
      <c r="L93" s="181"/>
      <c r="M93" s="181"/>
      <c r="N93" s="181"/>
      <c r="O93" s="181"/>
      <c r="P93" s="181"/>
      <c r="Q93" s="181"/>
      <c r="R93" s="181"/>
      <c r="S93" s="181"/>
      <c r="T93" s="181"/>
      <c r="U93"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93" s="182">
        <f>ACOAETME2021[[#This Row],[TOTAL Non-Truncated Unadjusted Claims Expenses]]-ACOAETME2021[[#This Row],[Total Claims Excluded because of Truncation]]</f>
        <v>0</v>
      </c>
      <c r="W93"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93" s="182">
        <f>ACOAETME2021[[#This Row],[TOTAL Non-Truncated Unadjusted Claims Expenses]]+ACOAETME2021[[#This Row],[TOTAL Non-Claims Expenses]]</f>
        <v>0</v>
      </c>
      <c r="Y93" s="182">
        <f>ACOAETME2021[[#This Row],[TOTAL Truncated Unadjusted Claims Expenses (A19 - A17)]]+ACOAETME2021[[#This Row],[TOTAL Non-Claims Expenses]]</f>
        <v>0</v>
      </c>
      <c r="Z93" s="540" t="str">
        <f>IFERROR(ACOAETME2021[[#This Row],[TOTAL Non-Truncated Unadjusted Expenses 
(A19+A21)]]/ACOAETME2021[[#This Row],[Member Months]], "NA")</f>
        <v>NA</v>
      </c>
      <c r="AA93" s="232" t="str">
        <f>IFERROR(ACOAETME2021[[#This Row],[TOTAL Truncated Unadjusted Expenses (A20+A21)]]/ACOAETME2021[[#This Row],[Member Months]], "NA")</f>
        <v>NA</v>
      </c>
      <c r="AB93" s="504">
        <f>IFERROR(ACOAETME2021[[#This Row],[Total Claims Excluded because of Truncation]]/ACOAETME2021[[#This Row],[Count of Members with Claims Truncated]],0)</f>
        <v>0</v>
      </c>
      <c r="AC93" s="508">
        <f>IFERROR(ACOAETME2021[[#This Row],[Total Claims Excluded because of Truncation]]/ACOAETME2021[[#This Row],[TOTAL Non-Truncated Unadjusted Claims Expenses]],0)</f>
        <v>0</v>
      </c>
    </row>
    <row r="94" spans="1:29" x14ac:dyDescent="0.35">
      <c r="A94" s="176"/>
      <c r="B94" s="175"/>
      <c r="C94" s="179"/>
      <c r="D94" s="180"/>
      <c r="E94" s="181"/>
      <c r="F94" s="181"/>
      <c r="G94" s="181"/>
      <c r="H94" s="181"/>
      <c r="I94" s="181"/>
      <c r="J94" s="181"/>
      <c r="K94" s="181"/>
      <c r="L94" s="181"/>
      <c r="M94" s="181"/>
      <c r="N94" s="181"/>
      <c r="O94" s="181"/>
      <c r="P94" s="181"/>
      <c r="Q94" s="181"/>
      <c r="R94" s="181"/>
      <c r="S94" s="181"/>
      <c r="T94" s="181"/>
      <c r="U94"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94" s="182">
        <f>ACOAETME2021[[#This Row],[TOTAL Non-Truncated Unadjusted Claims Expenses]]-ACOAETME2021[[#This Row],[Total Claims Excluded because of Truncation]]</f>
        <v>0</v>
      </c>
      <c r="W94"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94" s="182">
        <f>ACOAETME2021[[#This Row],[TOTAL Non-Truncated Unadjusted Claims Expenses]]+ACOAETME2021[[#This Row],[TOTAL Non-Claims Expenses]]</f>
        <v>0</v>
      </c>
      <c r="Y94" s="182">
        <f>ACOAETME2021[[#This Row],[TOTAL Truncated Unadjusted Claims Expenses (A19 - A17)]]+ACOAETME2021[[#This Row],[TOTAL Non-Claims Expenses]]</f>
        <v>0</v>
      </c>
      <c r="Z94" s="540" t="str">
        <f>IFERROR(ACOAETME2021[[#This Row],[TOTAL Non-Truncated Unadjusted Expenses 
(A19+A21)]]/ACOAETME2021[[#This Row],[Member Months]], "NA")</f>
        <v>NA</v>
      </c>
      <c r="AA94" s="232" t="str">
        <f>IFERROR(ACOAETME2021[[#This Row],[TOTAL Truncated Unadjusted Expenses (A20+A21)]]/ACOAETME2021[[#This Row],[Member Months]], "NA")</f>
        <v>NA</v>
      </c>
      <c r="AB94" s="504">
        <f>IFERROR(ACOAETME2021[[#This Row],[Total Claims Excluded because of Truncation]]/ACOAETME2021[[#This Row],[Count of Members with Claims Truncated]],0)</f>
        <v>0</v>
      </c>
      <c r="AC94" s="508">
        <f>IFERROR(ACOAETME2021[[#This Row],[Total Claims Excluded because of Truncation]]/ACOAETME2021[[#This Row],[TOTAL Non-Truncated Unadjusted Claims Expenses]],0)</f>
        <v>0</v>
      </c>
    </row>
    <row r="95" spans="1:29" x14ac:dyDescent="0.35">
      <c r="A95" s="176"/>
      <c r="B95" s="175"/>
      <c r="C95" s="179"/>
      <c r="D95" s="180"/>
      <c r="E95" s="181"/>
      <c r="F95" s="181"/>
      <c r="G95" s="181"/>
      <c r="H95" s="181"/>
      <c r="I95" s="181"/>
      <c r="J95" s="181"/>
      <c r="K95" s="181"/>
      <c r="L95" s="181"/>
      <c r="M95" s="181"/>
      <c r="N95" s="181"/>
      <c r="O95" s="181"/>
      <c r="P95" s="181"/>
      <c r="Q95" s="181"/>
      <c r="R95" s="181"/>
      <c r="S95" s="181"/>
      <c r="T95" s="181"/>
      <c r="U95"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95" s="182">
        <f>ACOAETME2021[[#This Row],[TOTAL Non-Truncated Unadjusted Claims Expenses]]-ACOAETME2021[[#This Row],[Total Claims Excluded because of Truncation]]</f>
        <v>0</v>
      </c>
      <c r="W95"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95" s="182">
        <f>ACOAETME2021[[#This Row],[TOTAL Non-Truncated Unadjusted Claims Expenses]]+ACOAETME2021[[#This Row],[TOTAL Non-Claims Expenses]]</f>
        <v>0</v>
      </c>
      <c r="Y95" s="182">
        <f>ACOAETME2021[[#This Row],[TOTAL Truncated Unadjusted Claims Expenses (A19 - A17)]]+ACOAETME2021[[#This Row],[TOTAL Non-Claims Expenses]]</f>
        <v>0</v>
      </c>
      <c r="Z95" s="540" t="str">
        <f>IFERROR(ACOAETME2021[[#This Row],[TOTAL Non-Truncated Unadjusted Expenses 
(A19+A21)]]/ACOAETME2021[[#This Row],[Member Months]], "NA")</f>
        <v>NA</v>
      </c>
      <c r="AA95" s="232" t="str">
        <f>IFERROR(ACOAETME2021[[#This Row],[TOTAL Truncated Unadjusted Expenses (A20+A21)]]/ACOAETME2021[[#This Row],[Member Months]], "NA")</f>
        <v>NA</v>
      </c>
      <c r="AB95" s="504">
        <f>IFERROR(ACOAETME2021[[#This Row],[Total Claims Excluded because of Truncation]]/ACOAETME2021[[#This Row],[Count of Members with Claims Truncated]],0)</f>
        <v>0</v>
      </c>
      <c r="AC95" s="508">
        <f>IFERROR(ACOAETME2021[[#This Row],[Total Claims Excluded because of Truncation]]/ACOAETME2021[[#This Row],[TOTAL Non-Truncated Unadjusted Claims Expenses]],0)</f>
        <v>0</v>
      </c>
    </row>
    <row r="96" spans="1:29" x14ac:dyDescent="0.35">
      <c r="A96" s="176"/>
      <c r="B96" s="175"/>
      <c r="C96" s="179"/>
      <c r="D96" s="180"/>
      <c r="E96" s="181"/>
      <c r="F96" s="181"/>
      <c r="G96" s="181"/>
      <c r="H96" s="181"/>
      <c r="I96" s="181"/>
      <c r="J96" s="181"/>
      <c r="K96" s="181"/>
      <c r="L96" s="181"/>
      <c r="M96" s="181"/>
      <c r="N96" s="181"/>
      <c r="O96" s="181"/>
      <c r="P96" s="181"/>
      <c r="Q96" s="181"/>
      <c r="R96" s="181"/>
      <c r="S96" s="181"/>
      <c r="T96" s="181"/>
      <c r="U96"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96" s="182">
        <f>ACOAETME2021[[#This Row],[TOTAL Non-Truncated Unadjusted Claims Expenses]]-ACOAETME2021[[#This Row],[Total Claims Excluded because of Truncation]]</f>
        <v>0</v>
      </c>
      <c r="W96"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96" s="182">
        <f>ACOAETME2021[[#This Row],[TOTAL Non-Truncated Unadjusted Claims Expenses]]+ACOAETME2021[[#This Row],[TOTAL Non-Claims Expenses]]</f>
        <v>0</v>
      </c>
      <c r="Y96" s="182">
        <f>ACOAETME2021[[#This Row],[TOTAL Truncated Unadjusted Claims Expenses (A19 - A17)]]+ACOAETME2021[[#This Row],[TOTAL Non-Claims Expenses]]</f>
        <v>0</v>
      </c>
      <c r="Z96" s="540" t="str">
        <f>IFERROR(ACOAETME2021[[#This Row],[TOTAL Non-Truncated Unadjusted Expenses 
(A19+A21)]]/ACOAETME2021[[#This Row],[Member Months]], "NA")</f>
        <v>NA</v>
      </c>
      <c r="AA96" s="232" t="str">
        <f>IFERROR(ACOAETME2021[[#This Row],[TOTAL Truncated Unadjusted Expenses (A20+A21)]]/ACOAETME2021[[#This Row],[Member Months]], "NA")</f>
        <v>NA</v>
      </c>
      <c r="AB96" s="504">
        <f>IFERROR(ACOAETME2021[[#This Row],[Total Claims Excluded because of Truncation]]/ACOAETME2021[[#This Row],[Count of Members with Claims Truncated]],0)</f>
        <v>0</v>
      </c>
      <c r="AC96" s="508">
        <f>IFERROR(ACOAETME2021[[#This Row],[Total Claims Excluded because of Truncation]]/ACOAETME2021[[#This Row],[TOTAL Non-Truncated Unadjusted Claims Expenses]],0)</f>
        <v>0</v>
      </c>
    </row>
    <row r="97" spans="1:29" x14ac:dyDescent="0.35">
      <c r="A97" s="176"/>
      <c r="B97" s="175"/>
      <c r="C97" s="179"/>
      <c r="D97" s="180"/>
      <c r="E97" s="181"/>
      <c r="F97" s="181"/>
      <c r="G97" s="181"/>
      <c r="H97" s="181"/>
      <c r="I97" s="181"/>
      <c r="J97" s="181"/>
      <c r="K97" s="181"/>
      <c r="L97" s="181"/>
      <c r="M97" s="181"/>
      <c r="N97" s="181"/>
      <c r="O97" s="181"/>
      <c r="P97" s="181"/>
      <c r="Q97" s="181"/>
      <c r="R97" s="181"/>
      <c r="S97" s="181"/>
      <c r="T97" s="181"/>
      <c r="U97"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97" s="182">
        <f>ACOAETME2021[[#This Row],[TOTAL Non-Truncated Unadjusted Claims Expenses]]-ACOAETME2021[[#This Row],[Total Claims Excluded because of Truncation]]</f>
        <v>0</v>
      </c>
      <c r="W97"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97" s="182">
        <f>ACOAETME2021[[#This Row],[TOTAL Non-Truncated Unadjusted Claims Expenses]]+ACOAETME2021[[#This Row],[TOTAL Non-Claims Expenses]]</f>
        <v>0</v>
      </c>
      <c r="Y97" s="182">
        <f>ACOAETME2021[[#This Row],[TOTAL Truncated Unadjusted Claims Expenses (A19 - A17)]]+ACOAETME2021[[#This Row],[TOTAL Non-Claims Expenses]]</f>
        <v>0</v>
      </c>
      <c r="Z97" s="540" t="str">
        <f>IFERROR(ACOAETME2021[[#This Row],[TOTAL Non-Truncated Unadjusted Expenses 
(A19+A21)]]/ACOAETME2021[[#This Row],[Member Months]], "NA")</f>
        <v>NA</v>
      </c>
      <c r="AA97" s="232" t="str">
        <f>IFERROR(ACOAETME2021[[#This Row],[TOTAL Truncated Unadjusted Expenses (A20+A21)]]/ACOAETME2021[[#This Row],[Member Months]], "NA")</f>
        <v>NA</v>
      </c>
      <c r="AB97" s="504">
        <f>IFERROR(ACOAETME2021[[#This Row],[Total Claims Excluded because of Truncation]]/ACOAETME2021[[#This Row],[Count of Members with Claims Truncated]],0)</f>
        <v>0</v>
      </c>
      <c r="AC97" s="508">
        <f>IFERROR(ACOAETME2021[[#This Row],[Total Claims Excluded because of Truncation]]/ACOAETME2021[[#This Row],[TOTAL Non-Truncated Unadjusted Claims Expenses]],0)</f>
        <v>0</v>
      </c>
    </row>
    <row r="98" spans="1:29" x14ac:dyDescent="0.35">
      <c r="A98" s="176"/>
      <c r="B98" s="175"/>
      <c r="C98" s="179"/>
      <c r="D98" s="180"/>
      <c r="E98" s="181"/>
      <c r="F98" s="181"/>
      <c r="G98" s="181"/>
      <c r="H98" s="181"/>
      <c r="I98" s="181"/>
      <c r="J98" s="181"/>
      <c r="K98" s="181"/>
      <c r="L98" s="181"/>
      <c r="M98" s="181"/>
      <c r="N98" s="181"/>
      <c r="O98" s="181"/>
      <c r="P98" s="181"/>
      <c r="Q98" s="181"/>
      <c r="R98" s="181"/>
      <c r="S98" s="181"/>
      <c r="T98" s="181"/>
      <c r="U98"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98" s="182">
        <f>ACOAETME2021[[#This Row],[TOTAL Non-Truncated Unadjusted Claims Expenses]]-ACOAETME2021[[#This Row],[Total Claims Excluded because of Truncation]]</f>
        <v>0</v>
      </c>
      <c r="W98"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98" s="182">
        <f>ACOAETME2021[[#This Row],[TOTAL Non-Truncated Unadjusted Claims Expenses]]+ACOAETME2021[[#This Row],[TOTAL Non-Claims Expenses]]</f>
        <v>0</v>
      </c>
      <c r="Y98" s="182">
        <f>ACOAETME2021[[#This Row],[TOTAL Truncated Unadjusted Claims Expenses (A19 - A17)]]+ACOAETME2021[[#This Row],[TOTAL Non-Claims Expenses]]</f>
        <v>0</v>
      </c>
      <c r="Z98" s="540" t="str">
        <f>IFERROR(ACOAETME2021[[#This Row],[TOTAL Non-Truncated Unadjusted Expenses 
(A19+A21)]]/ACOAETME2021[[#This Row],[Member Months]], "NA")</f>
        <v>NA</v>
      </c>
      <c r="AA98" s="232" t="str">
        <f>IFERROR(ACOAETME2021[[#This Row],[TOTAL Truncated Unadjusted Expenses (A20+A21)]]/ACOAETME2021[[#This Row],[Member Months]], "NA")</f>
        <v>NA</v>
      </c>
      <c r="AB98" s="504">
        <f>IFERROR(ACOAETME2021[[#This Row],[Total Claims Excluded because of Truncation]]/ACOAETME2021[[#This Row],[Count of Members with Claims Truncated]],0)</f>
        <v>0</v>
      </c>
      <c r="AC98" s="508">
        <f>IFERROR(ACOAETME2021[[#This Row],[Total Claims Excluded because of Truncation]]/ACOAETME2021[[#This Row],[TOTAL Non-Truncated Unadjusted Claims Expenses]],0)</f>
        <v>0</v>
      </c>
    </row>
    <row r="99" spans="1:29" x14ac:dyDescent="0.35">
      <c r="A99" s="176"/>
      <c r="B99" s="175"/>
      <c r="C99" s="179"/>
      <c r="D99" s="180"/>
      <c r="E99" s="181"/>
      <c r="F99" s="181"/>
      <c r="G99" s="181"/>
      <c r="H99" s="181"/>
      <c r="I99" s="181"/>
      <c r="J99" s="181"/>
      <c r="K99" s="181"/>
      <c r="L99" s="181"/>
      <c r="M99" s="181"/>
      <c r="N99" s="181"/>
      <c r="O99" s="181"/>
      <c r="P99" s="181"/>
      <c r="Q99" s="181"/>
      <c r="R99" s="181"/>
      <c r="S99" s="181"/>
      <c r="T99" s="181"/>
      <c r="U99"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99" s="182">
        <f>ACOAETME2021[[#This Row],[TOTAL Non-Truncated Unadjusted Claims Expenses]]-ACOAETME2021[[#This Row],[Total Claims Excluded because of Truncation]]</f>
        <v>0</v>
      </c>
      <c r="W99"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99" s="182">
        <f>ACOAETME2021[[#This Row],[TOTAL Non-Truncated Unadjusted Claims Expenses]]+ACOAETME2021[[#This Row],[TOTAL Non-Claims Expenses]]</f>
        <v>0</v>
      </c>
      <c r="Y99" s="182">
        <f>ACOAETME2021[[#This Row],[TOTAL Truncated Unadjusted Claims Expenses (A19 - A17)]]+ACOAETME2021[[#This Row],[TOTAL Non-Claims Expenses]]</f>
        <v>0</v>
      </c>
      <c r="Z99" s="540" t="str">
        <f>IFERROR(ACOAETME2021[[#This Row],[TOTAL Non-Truncated Unadjusted Expenses 
(A19+A21)]]/ACOAETME2021[[#This Row],[Member Months]], "NA")</f>
        <v>NA</v>
      </c>
      <c r="AA99" s="232" t="str">
        <f>IFERROR(ACOAETME2021[[#This Row],[TOTAL Truncated Unadjusted Expenses (A20+A21)]]/ACOAETME2021[[#This Row],[Member Months]], "NA")</f>
        <v>NA</v>
      </c>
      <c r="AB99" s="504">
        <f>IFERROR(ACOAETME2021[[#This Row],[Total Claims Excluded because of Truncation]]/ACOAETME2021[[#This Row],[Count of Members with Claims Truncated]],0)</f>
        <v>0</v>
      </c>
      <c r="AC99" s="508">
        <f>IFERROR(ACOAETME2021[[#This Row],[Total Claims Excluded because of Truncation]]/ACOAETME2021[[#This Row],[TOTAL Non-Truncated Unadjusted Claims Expenses]],0)</f>
        <v>0</v>
      </c>
    </row>
    <row r="100" spans="1:29" x14ac:dyDescent="0.35">
      <c r="A100" s="176"/>
      <c r="B100" s="175"/>
      <c r="C100" s="179"/>
      <c r="D100" s="180"/>
      <c r="E100" s="181"/>
      <c r="F100" s="181"/>
      <c r="G100" s="181"/>
      <c r="H100" s="181"/>
      <c r="I100" s="181"/>
      <c r="J100" s="181"/>
      <c r="K100" s="181"/>
      <c r="L100" s="181"/>
      <c r="M100" s="181"/>
      <c r="N100" s="181"/>
      <c r="O100" s="181"/>
      <c r="P100" s="181"/>
      <c r="Q100" s="181"/>
      <c r="R100" s="181"/>
      <c r="S100" s="181"/>
      <c r="T100" s="181"/>
      <c r="U100"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00" s="182">
        <f>ACOAETME2021[[#This Row],[TOTAL Non-Truncated Unadjusted Claims Expenses]]-ACOAETME2021[[#This Row],[Total Claims Excluded because of Truncation]]</f>
        <v>0</v>
      </c>
      <c r="W100"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00" s="182">
        <f>ACOAETME2021[[#This Row],[TOTAL Non-Truncated Unadjusted Claims Expenses]]+ACOAETME2021[[#This Row],[TOTAL Non-Claims Expenses]]</f>
        <v>0</v>
      </c>
      <c r="Y100" s="182">
        <f>ACOAETME2021[[#This Row],[TOTAL Truncated Unadjusted Claims Expenses (A19 - A17)]]+ACOAETME2021[[#This Row],[TOTAL Non-Claims Expenses]]</f>
        <v>0</v>
      </c>
      <c r="Z100" s="540" t="str">
        <f>IFERROR(ACOAETME2021[[#This Row],[TOTAL Non-Truncated Unadjusted Expenses 
(A19+A21)]]/ACOAETME2021[[#This Row],[Member Months]], "NA")</f>
        <v>NA</v>
      </c>
      <c r="AA100" s="232" t="str">
        <f>IFERROR(ACOAETME2021[[#This Row],[TOTAL Truncated Unadjusted Expenses (A20+A21)]]/ACOAETME2021[[#This Row],[Member Months]], "NA")</f>
        <v>NA</v>
      </c>
      <c r="AB100" s="504">
        <f>IFERROR(ACOAETME2021[[#This Row],[Total Claims Excluded because of Truncation]]/ACOAETME2021[[#This Row],[Count of Members with Claims Truncated]],0)</f>
        <v>0</v>
      </c>
      <c r="AC100" s="508">
        <f>IFERROR(ACOAETME2021[[#This Row],[Total Claims Excluded because of Truncation]]/ACOAETME2021[[#This Row],[TOTAL Non-Truncated Unadjusted Claims Expenses]],0)</f>
        <v>0</v>
      </c>
    </row>
    <row r="101" spans="1:29" x14ac:dyDescent="0.35">
      <c r="A101" s="176"/>
      <c r="B101" s="175"/>
      <c r="C101" s="179"/>
      <c r="D101" s="180"/>
      <c r="E101" s="181"/>
      <c r="F101" s="181"/>
      <c r="G101" s="181"/>
      <c r="H101" s="181"/>
      <c r="I101" s="181"/>
      <c r="J101" s="181"/>
      <c r="K101" s="181"/>
      <c r="L101" s="181"/>
      <c r="M101" s="181"/>
      <c r="N101" s="181"/>
      <c r="O101" s="181"/>
      <c r="P101" s="181"/>
      <c r="Q101" s="181"/>
      <c r="R101" s="181"/>
      <c r="S101" s="181"/>
      <c r="T101" s="181"/>
      <c r="U101"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01" s="182">
        <f>ACOAETME2021[[#This Row],[TOTAL Non-Truncated Unadjusted Claims Expenses]]-ACOAETME2021[[#This Row],[Total Claims Excluded because of Truncation]]</f>
        <v>0</v>
      </c>
      <c r="W101"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01" s="182">
        <f>ACOAETME2021[[#This Row],[TOTAL Non-Truncated Unadjusted Claims Expenses]]+ACOAETME2021[[#This Row],[TOTAL Non-Claims Expenses]]</f>
        <v>0</v>
      </c>
      <c r="Y101" s="182">
        <f>ACOAETME2021[[#This Row],[TOTAL Truncated Unadjusted Claims Expenses (A19 - A17)]]+ACOAETME2021[[#This Row],[TOTAL Non-Claims Expenses]]</f>
        <v>0</v>
      </c>
      <c r="Z101" s="540" t="str">
        <f>IFERROR(ACOAETME2021[[#This Row],[TOTAL Non-Truncated Unadjusted Expenses 
(A19+A21)]]/ACOAETME2021[[#This Row],[Member Months]], "NA")</f>
        <v>NA</v>
      </c>
      <c r="AA101" s="232" t="str">
        <f>IFERROR(ACOAETME2021[[#This Row],[TOTAL Truncated Unadjusted Expenses (A20+A21)]]/ACOAETME2021[[#This Row],[Member Months]], "NA")</f>
        <v>NA</v>
      </c>
      <c r="AB101" s="504">
        <f>IFERROR(ACOAETME2021[[#This Row],[Total Claims Excluded because of Truncation]]/ACOAETME2021[[#This Row],[Count of Members with Claims Truncated]],0)</f>
        <v>0</v>
      </c>
      <c r="AC101" s="508">
        <f>IFERROR(ACOAETME2021[[#This Row],[Total Claims Excluded because of Truncation]]/ACOAETME2021[[#This Row],[TOTAL Non-Truncated Unadjusted Claims Expenses]],0)</f>
        <v>0</v>
      </c>
    </row>
    <row r="102" spans="1:29" x14ac:dyDescent="0.35">
      <c r="A102" s="176"/>
      <c r="B102" s="175"/>
      <c r="C102" s="179"/>
      <c r="D102" s="180"/>
      <c r="E102" s="181"/>
      <c r="F102" s="181"/>
      <c r="G102" s="181"/>
      <c r="H102" s="181"/>
      <c r="I102" s="181"/>
      <c r="J102" s="181"/>
      <c r="K102" s="181"/>
      <c r="L102" s="181"/>
      <c r="M102" s="181"/>
      <c r="N102" s="181"/>
      <c r="O102" s="181"/>
      <c r="P102" s="181"/>
      <c r="Q102" s="181"/>
      <c r="R102" s="181"/>
      <c r="S102" s="181"/>
      <c r="T102" s="181"/>
      <c r="U102"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02" s="182">
        <f>ACOAETME2021[[#This Row],[TOTAL Non-Truncated Unadjusted Claims Expenses]]-ACOAETME2021[[#This Row],[Total Claims Excluded because of Truncation]]</f>
        <v>0</v>
      </c>
      <c r="W102"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02" s="182">
        <f>ACOAETME2021[[#This Row],[TOTAL Non-Truncated Unadjusted Claims Expenses]]+ACOAETME2021[[#This Row],[TOTAL Non-Claims Expenses]]</f>
        <v>0</v>
      </c>
      <c r="Y102" s="182">
        <f>ACOAETME2021[[#This Row],[TOTAL Truncated Unadjusted Claims Expenses (A19 - A17)]]+ACOAETME2021[[#This Row],[TOTAL Non-Claims Expenses]]</f>
        <v>0</v>
      </c>
      <c r="Z102" s="540" t="str">
        <f>IFERROR(ACOAETME2021[[#This Row],[TOTAL Non-Truncated Unadjusted Expenses 
(A19+A21)]]/ACOAETME2021[[#This Row],[Member Months]], "NA")</f>
        <v>NA</v>
      </c>
      <c r="AA102" s="232" t="str">
        <f>IFERROR(ACOAETME2021[[#This Row],[TOTAL Truncated Unadjusted Expenses (A20+A21)]]/ACOAETME2021[[#This Row],[Member Months]], "NA")</f>
        <v>NA</v>
      </c>
      <c r="AB102" s="504">
        <f>IFERROR(ACOAETME2021[[#This Row],[Total Claims Excluded because of Truncation]]/ACOAETME2021[[#This Row],[Count of Members with Claims Truncated]],0)</f>
        <v>0</v>
      </c>
      <c r="AC102" s="508">
        <f>IFERROR(ACOAETME2021[[#This Row],[Total Claims Excluded because of Truncation]]/ACOAETME2021[[#This Row],[TOTAL Non-Truncated Unadjusted Claims Expenses]],0)</f>
        <v>0</v>
      </c>
    </row>
    <row r="103" spans="1:29" x14ac:dyDescent="0.35">
      <c r="A103" s="176"/>
      <c r="B103" s="175"/>
      <c r="C103" s="179"/>
      <c r="D103" s="180"/>
      <c r="E103" s="181"/>
      <c r="F103" s="181"/>
      <c r="G103" s="181"/>
      <c r="H103" s="181"/>
      <c r="I103" s="181"/>
      <c r="J103" s="181"/>
      <c r="K103" s="181"/>
      <c r="L103" s="181"/>
      <c r="M103" s="181"/>
      <c r="N103" s="181"/>
      <c r="O103" s="181"/>
      <c r="P103" s="181"/>
      <c r="Q103" s="181"/>
      <c r="R103" s="181"/>
      <c r="S103" s="181"/>
      <c r="T103" s="181"/>
      <c r="U103"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03" s="182">
        <f>ACOAETME2021[[#This Row],[TOTAL Non-Truncated Unadjusted Claims Expenses]]-ACOAETME2021[[#This Row],[Total Claims Excluded because of Truncation]]</f>
        <v>0</v>
      </c>
      <c r="W103"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03" s="182">
        <f>ACOAETME2021[[#This Row],[TOTAL Non-Truncated Unadjusted Claims Expenses]]+ACOAETME2021[[#This Row],[TOTAL Non-Claims Expenses]]</f>
        <v>0</v>
      </c>
      <c r="Y103" s="182">
        <f>ACOAETME2021[[#This Row],[TOTAL Truncated Unadjusted Claims Expenses (A19 - A17)]]+ACOAETME2021[[#This Row],[TOTAL Non-Claims Expenses]]</f>
        <v>0</v>
      </c>
      <c r="Z103" s="540" t="str">
        <f>IFERROR(ACOAETME2021[[#This Row],[TOTAL Non-Truncated Unadjusted Expenses 
(A19+A21)]]/ACOAETME2021[[#This Row],[Member Months]], "NA")</f>
        <v>NA</v>
      </c>
      <c r="AA103" s="232" t="str">
        <f>IFERROR(ACOAETME2021[[#This Row],[TOTAL Truncated Unadjusted Expenses (A20+A21)]]/ACOAETME2021[[#This Row],[Member Months]], "NA")</f>
        <v>NA</v>
      </c>
      <c r="AB103" s="504">
        <f>IFERROR(ACOAETME2021[[#This Row],[Total Claims Excluded because of Truncation]]/ACOAETME2021[[#This Row],[Count of Members with Claims Truncated]],0)</f>
        <v>0</v>
      </c>
      <c r="AC103" s="508">
        <f>IFERROR(ACOAETME2021[[#This Row],[Total Claims Excluded because of Truncation]]/ACOAETME2021[[#This Row],[TOTAL Non-Truncated Unadjusted Claims Expenses]],0)</f>
        <v>0</v>
      </c>
    </row>
    <row r="104" spans="1:29" x14ac:dyDescent="0.35">
      <c r="A104" s="176"/>
      <c r="B104" s="175"/>
      <c r="C104" s="179"/>
      <c r="D104" s="180"/>
      <c r="E104" s="181"/>
      <c r="F104" s="181"/>
      <c r="G104" s="181"/>
      <c r="H104" s="181"/>
      <c r="I104" s="181"/>
      <c r="J104" s="181"/>
      <c r="K104" s="181"/>
      <c r="L104" s="181"/>
      <c r="M104" s="181"/>
      <c r="N104" s="181"/>
      <c r="O104" s="181"/>
      <c r="P104" s="181"/>
      <c r="Q104" s="181"/>
      <c r="R104" s="181"/>
      <c r="S104" s="181"/>
      <c r="T104" s="181"/>
      <c r="U104"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04" s="182">
        <f>ACOAETME2021[[#This Row],[TOTAL Non-Truncated Unadjusted Claims Expenses]]-ACOAETME2021[[#This Row],[Total Claims Excluded because of Truncation]]</f>
        <v>0</v>
      </c>
      <c r="W104"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04" s="182">
        <f>ACOAETME2021[[#This Row],[TOTAL Non-Truncated Unadjusted Claims Expenses]]+ACOAETME2021[[#This Row],[TOTAL Non-Claims Expenses]]</f>
        <v>0</v>
      </c>
      <c r="Y104" s="182">
        <f>ACOAETME2021[[#This Row],[TOTAL Truncated Unadjusted Claims Expenses (A19 - A17)]]+ACOAETME2021[[#This Row],[TOTAL Non-Claims Expenses]]</f>
        <v>0</v>
      </c>
      <c r="Z104" s="540" t="str">
        <f>IFERROR(ACOAETME2021[[#This Row],[TOTAL Non-Truncated Unadjusted Expenses 
(A19+A21)]]/ACOAETME2021[[#This Row],[Member Months]], "NA")</f>
        <v>NA</v>
      </c>
      <c r="AA104" s="232" t="str">
        <f>IFERROR(ACOAETME2021[[#This Row],[TOTAL Truncated Unadjusted Expenses (A20+A21)]]/ACOAETME2021[[#This Row],[Member Months]], "NA")</f>
        <v>NA</v>
      </c>
      <c r="AB104" s="504">
        <f>IFERROR(ACOAETME2021[[#This Row],[Total Claims Excluded because of Truncation]]/ACOAETME2021[[#This Row],[Count of Members with Claims Truncated]],0)</f>
        <v>0</v>
      </c>
      <c r="AC104" s="508">
        <f>IFERROR(ACOAETME2021[[#This Row],[Total Claims Excluded because of Truncation]]/ACOAETME2021[[#This Row],[TOTAL Non-Truncated Unadjusted Claims Expenses]],0)</f>
        <v>0</v>
      </c>
    </row>
    <row r="105" spans="1:29" x14ac:dyDescent="0.35">
      <c r="A105" s="176"/>
      <c r="B105" s="175"/>
      <c r="C105" s="179"/>
      <c r="D105" s="180"/>
      <c r="E105" s="181"/>
      <c r="F105" s="181"/>
      <c r="G105" s="181"/>
      <c r="H105" s="181"/>
      <c r="I105" s="181"/>
      <c r="J105" s="181"/>
      <c r="K105" s="181"/>
      <c r="L105" s="181"/>
      <c r="M105" s="181"/>
      <c r="N105" s="181"/>
      <c r="O105" s="181"/>
      <c r="P105" s="181"/>
      <c r="Q105" s="181"/>
      <c r="R105" s="181"/>
      <c r="S105" s="181"/>
      <c r="T105" s="181"/>
      <c r="U105"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05" s="182">
        <f>ACOAETME2021[[#This Row],[TOTAL Non-Truncated Unadjusted Claims Expenses]]-ACOAETME2021[[#This Row],[Total Claims Excluded because of Truncation]]</f>
        <v>0</v>
      </c>
      <c r="W105"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05" s="182">
        <f>ACOAETME2021[[#This Row],[TOTAL Non-Truncated Unadjusted Claims Expenses]]+ACOAETME2021[[#This Row],[TOTAL Non-Claims Expenses]]</f>
        <v>0</v>
      </c>
      <c r="Y105" s="182">
        <f>ACOAETME2021[[#This Row],[TOTAL Truncated Unadjusted Claims Expenses (A19 - A17)]]+ACOAETME2021[[#This Row],[TOTAL Non-Claims Expenses]]</f>
        <v>0</v>
      </c>
      <c r="Z105" s="540" t="str">
        <f>IFERROR(ACOAETME2021[[#This Row],[TOTAL Non-Truncated Unadjusted Expenses 
(A19+A21)]]/ACOAETME2021[[#This Row],[Member Months]], "NA")</f>
        <v>NA</v>
      </c>
      <c r="AA105" s="232" t="str">
        <f>IFERROR(ACOAETME2021[[#This Row],[TOTAL Truncated Unadjusted Expenses (A20+A21)]]/ACOAETME2021[[#This Row],[Member Months]], "NA")</f>
        <v>NA</v>
      </c>
      <c r="AB105" s="504">
        <f>IFERROR(ACOAETME2021[[#This Row],[Total Claims Excluded because of Truncation]]/ACOAETME2021[[#This Row],[Count of Members with Claims Truncated]],0)</f>
        <v>0</v>
      </c>
      <c r="AC105" s="508">
        <f>IFERROR(ACOAETME2021[[#This Row],[Total Claims Excluded because of Truncation]]/ACOAETME2021[[#This Row],[TOTAL Non-Truncated Unadjusted Claims Expenses]],0)</f>
        <v>0</v>
      </c>
    </row>
    <row r="106" spans="1:29" x14ac:dyDescent="0.35">
      <c r="A106" s="176"/>
      <c r="B106" s="175"/>
      <c r="C106" s="179"/>
      <c r="D106" s="180"/>
      <c r="E106" s="181"/>
      <c r="F106" s="181"/>
      <c r="G106" s="181"/>
      <c r="H106" s="181"/>
      <c r="I106" s="181"/>
      <c r="J106" s="181"/>
      <c r="K106" s="181"/>
      <c r="L106" s="181"/>
      <c r="M106" s="181"/>
      <c r="N106" s="181"/>
      <c r="O106" s="181"/>
      <c r="P106" s="181"/>
      <c r="Q106" s="181"/>
      <c r="R106" s="181"/>
      <c r="S106" s="181"/>
      <c r="T106" s="181"/>
      <c r="U106"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06" s="182">
        <f>ACOAETME2021[[#This Row],[TOTAL Non-Truncated Unadjusted Claims Expenses]]-ACOAETME2021[[#This Row],[Total Claims Excluded because of Truncation]]</f>
        <v>0</v>
      </c>
      <c r="W106"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06" s="182">
        <f>ACOAETME2021[[#This Row],[TOTAL Non-Truncated Unadjusted Claims Expenses]]+ACOAETME2021[[#This Row],[TOTAL Non-Claims Expenses]]</f>
        <v>0</v>
      </c>
      <c r="Y106" s="182">
        <f>ACOAETME2021[[#This Row],[TOTAL Truncated Unadjusted Claims Expenses (A19 - A17)]]+ACOAETME2021[[#This Row],[TOTAL Non-Claims Expenses]]</f>
        <v>0</v>
      </c>
      <c r="Z106" s="540" t="str">
        <f>IFERROR(ACOAETME2021[[#This Row],[TOTAL Non-Truncated Unadjusted Expenses 
(A19+A21)]]/ACOAETME2021[[#This Row],[Member Months]], "NA")</f>
        <v>NA</v>
      </c>
      <c r="AA106" s="232" t="str">
        <f>IFERROR(ACOAETME2021[[#This Row],[TOTAL Truncated Unadjusted Expenses (A20+A21)]]/ACOAETME2021[[#This Row],[Member Months]], "NA")</f>
        <v>NA</v>
      </c>
      <c r="AB106" s="504">
        <f>IFERROR(ACOAETME2021[[#This Row],[Total Claims Excluded because of Truncation]]/ACOAETME2021[[#This Row],[Count of Members with Claims Truncated]],0)</f>
        <v>0</v>
      </c>
      <c r="AC106" s="508">
        <f>IFERROR(ACOAETME2021[[#This Row],[Total Claims Excluded because of Truncation]]/ACOAETME2021[[#This Row],[TOTAL Non-Truncated Unadjusted Claims Expenses]],0)</f>
        <v>0</v>
      </c>
    </row>
    <row r="107" spans="1:29" x14ac:dyDescent="0.35">
      <c r="A107" s="176"/>
      <c r="B107" s="175"/>
      <c r="C107" s="179"/>
      <c r="D107" s="180"/>
      <c r="E107" s="181"/>
      <c r="F107" s="181"/>
      <c r="G107" s="181"/>
      <c r="H107" s="181"/>
      <c r="I107" s="181"/>
      <c r="J107" s="181"/>
      <c r="K107" s="181"/>
      <c r="L107" s="181"/>
      <c r="M107" s="181"/>
      <c r="N107" s="181"/>
      <c r="O107" s="181"/>
      <c r="P107" s="181"/>
      <c r="Q107" s="181"/>
      <c r="R107" s="181"/>
      <c r="S107" s="181"/>
      <c r="T107" s="181"/>
      <c r="U107"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07" s="182">
        <f>ACOAETME2021[[#This Row],[TOTAL Non-Truncated Unadjusted Claims Expenses]]-ACOAETME2021[[#This Row],[Total Claims Excluded because of Truncation]]</f>
        <v>0</v>
      </c>
      <c r="W107"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07" s="182">
        <f>ACOAETME2021[[#This Row],[TOTAL Non-Truncated Unadjusted Claims Expenses]]+ACOAETME2021[[#This Row],[TOTAL Non-Claims Expenses]]</f>
        <v>0</v>
      </c>
      <c r="Y107" s="182">
        <f>ACOAETME2021[[#This Row],[TOTAL Truncated Unadjusted Claims Expenses (A19 - A17)]]+ACOAETME2021[[#This Row],[TOTAL Non-Claims Expenses]]</f>
        <v>0</v>
      </c>
      <c r="Z107" s="540" t="str">
        <f>IFERROR(ACOAETME2021[[#This Row],[TOTAL Non-Truncated Unadjusted Expenses 
(A19+A21)]]/ACOAETME2021[[#This Row],[Member Months]], "NA")</f>
        <v>NA</v>
      </c>
      <c r="AA107" s="232" t="str">
        <f>IFERROR(ACOAETME2021[[#This Row],[TOTAL Truncated Unadjusted Expenses (A20+A21)]]/ACOAETME2021[[#This Row],[Member Months]], "NA")</f>
        <v>NA</v>
      </c>
      <c r="AB107" s="504">
        <f>IFERROR(ACOAETME2021[[#This Row],[Total Claims Excluded because of Truncation]]/ACOAETME2021[[#This Row],[Count of Members with Claims Truncated]],0)</f>
        <v>0</v>
      </c>
      <c r="AC107" s="508">
        <f>IFERROR(ACOAETME2021[[#This Row],[Total Claims Excluded because of Truncation]]/ACOAETME2021[[#This Row],[TOTAL Non-Truncated Unadjusted Claims Expenses]],0)</f>
        <v>0</v>
      </c>
    </row>
    <row r="108" spans="1:29" x14ac:dyDescent="0.35">
      <c r="A108" s="176"/>
      <c r="B108" s="175"/>
      <c r="C108" s="179"/>
      <c r="D108" s="180"/>
      <c r="E108" s="181"/>
      <c r="F108" s="181"/>
      <c r="G108" s="181"/>
      <c r="H108" s="181"/>
      <c r="I108" s="181"/>
      <c r="J108" s="181"/>
      <c r="K108" s="181"/>
      <c r="L108" s="181"/>
      <c r="M108" s="181"/>
      <c r="N108" s="181"/>
      <c r="O108" s="181"/>
      <c r="P108" s="181"/>
      <c r="Q108" s="181"/>
      <c r="R108" s="181"/>
      <c r="S108" s="181"/>
      <c r="T108" s="181"/>
      <c r="U108"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08" s="182">
        <f>ACOAETME2021[[#This Row],[TOTAL Non-Truncated Unadjusted Claims Expenses]]-ACOAETME2021[[#This Row],[Total Claims Excluded because of Truncation]]</f>
        <v>0</v>
      </c>
      <c r="W108"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08" s="182">
        <f>ACOAETME2021[[#This Row],[TOTAL Non-Truncated Unadjusted Claims Expenses]]+ACOAETME2021[[#This Row],[TOTAL Non-Claims Expenses]]</f>
        <v>0</v>
      </c>
      <c r="Y108" s="182">
        <f>ACOAETME2021[[#This Row],[TOTAL Truncated Unadjusted Claims Expenses (A19 - A17)]]+ACOAETME2021[[#This Row],[TOTAL Non-Claims Expenses]]</f>
        <v>0</v>
      </c>
      <c r="Z108" s="540" t="str">
        <f>IFERROR(ACOAETME2021[[#This Row],[TOTAL Non-Truncated Unadjusted Expenses 
(A19+A21)]]/ACOAETME2021[[#This Row],[Member Months]], "NA")</f>
        <v>NA</v>
      </c>
      <c r="AA108" s="232" t="str">
        <f>IFERROR(ACOAETME2021[[#This Row],[TOTAL Truncated Unadjusted Expenses (A20+A21)]]/ACOAETME2021[[#This Row],[Member Months]], "NA")</f>
        <v>NA</v>
      </c>
      <c r="AB108" s="504">
        <f>IFERROR(ACOAETME2021[[#This Row],[Total Claims Excluded because of Truncation]]/ACOAETME2021[[#This Row],[Count of Members with Claims Truncated]],0)</f>
        <v>0</v>
      </c>
      <c r="AC108" s="508">
        <f>IFERROR(ACOAETME2021[[#This Row],[Total Claims Excluded because of Truncation]]/ACOAETME2021[[#This Row],[TOTAL Non-Truncated Unadjusted Claims Expenses]],0)</f>
        <v>0</v>
      </c>
    </row>
    <row r="109" spans="1:29" x14ac:dyDescent="0.35">
      <c r="A109" s="176"/>
      <c r="B109" s="175"/>
      <c r="C109" s="179"/>
      <c r="D109" s="180"/>
      <c r="E109" s="181"/>
      <c r="F109" s="181"/>
      <c r="G109" s="181"/>
      <c r="H109" s="181"/>
      <c r="I109" s="181"/>
      <c r="J109" s="181"/>
      <c r="K109" s="181"/>
      <c r="L109" s="181"/>
      <c r="M109" s="181"/>
      <c r="N109" s="181"/>
      <c r="O109" s="181"/>
      <c r="P109" s="181"/>
      <c r="Q109" s="181"/>
      <c r="R109" s="181"/>
      <c r="S109" s="181"/>
      <c r="T109" s="181"/>
      <c r="U109"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09" s="182">
        <f>ACOAETME2021[[#This Row],[TOTAL Non-Truncated Unadjusted Claims Expenses]]-ACOAETME2021[[#This Row],[Total Claims Excluded because of Truncation]]</f>
        <v>0</v>
      </c>
      <c r="W109"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09" s="182">
        <f>ACOAETME2021[[#This Row],[TOTAL Non-Truncated Unadjusted Claims Expenses]]+ACOAETME2021[[#This Row],[TOTAL Non-Claims Expenses]]</f>
        <v>0</v>
      </c>
      <c r="Y109" s="182">
        <f>ACOAETME2021[[#This Row],[TOTAL Truncated Unadjusted Claims Expenses (A19 - A17)]]+ACOAETME2021[[#This Row],[TOTAL Non-Claims Expenses]]</f>
        <v>0</v>
      </c>
      <c r="Z109" s="540" t="str">
        <f>IFERROR(ACOAETME2021[[#This Row],[TOTAL Non-Truncated Unadjusted Expenses 
(A19+A21)]]/ACOAETME2021[[#This Row],[Member Months]], "NA")</f>
        <v>NA</v>
      </c>
      <c r="AA109" s="232" t="str">
        <f>IFERROR(ACOAETME2021[[#This Row],[TOTAL Truncated Unadjusted Expenses (A20+A21)]]/ACOAETME2021[[#This Row],[Member Months]], "NA")</f>
        <v>NA</v>
      </c>
      <c r="AB109" s="504">
        <f>IFERROR(ACOAETME2021[[#This Row],[Total Claims Excluded because of Truncation]]/ACOAETME2021[[#This Row],[Count of Members with Claims Truncated]],0)</f>
        <v>0</v>
      </c>
      <c r="AC109" s="508">
        <f>IFERROR(ACOAETME2021[[#This Row],[Total Claims Excluded because of Truncation]]/ACOAETME2021[[#This Row],[TOTAL Non-Truncated Unadjusted Claims Expenses]],0)</f>
        <v>0</v>
      </c>
    </row>
    <row r="110" spans="1:29" x14ac:dyDescent="0.35">
      <c r="A110" s="176"/>
      <c r="B110" s="175"/>
      <c r="C110" s="179"/>
      <c r="D110" s="180"/>
      <c r="E110" s="181"/>
      <c r="F110" s="181"/>
      <c r="G110" s="181"/>
      <c r="H110" s="181"/>
      <c r="I110" s="181"/>
      <c r="J110" s="181"/>
      <c r="K110" s="181"/>
      <c r="L110" s="181"/>
      <c r="M110" s="181"/>
      <c r="N110" s="181"/>
      <c r="O110" s="181"/>
      <c r="P110" s="181"/>
      <c r="Q110" s="181"/>
      <c r="R110" s="181"/>
      <c r="S110" s="181"/>
      <c r="T110" s="181"/>
      <c r="U110"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10" s="182">
        <f>ACOAETME2021[[#This Row],[TOTAL Non-Truncated Unadjusted Claims Expenses]]-ACOAETME2021[[#This Row],[Total Claims Excluded because of Truncation]]</f>
        <v>0</v>
      </c>
      <c r="W110"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10" s="182">
        <f>ACOAETME2021[[#This Row],[TOTAL Non-Truncated Unadjusted Claims Expenses]]+ACOAETME2021[[#This Row],[TOTAL Non-Claims Expenses]]</f>
        <v>0</v>
      </c>
      <c r="Y110" s="182">
        <f>ACOAETME2021[[#This Row],[TOTAL Truncated Unadjusted Claims Expenses (A19 - A17)]]+ACOAETME2021[[#This Row],[TOTAL Non-Claims Expenses]]</f>
        <v>0</v>
      </c>
      <c r="Z110" s="540" t="str">
        <f>IFERROR(ACOAETME2021[[#This Row],[TOTAL Non-Truncated Unadjusted Expenses 
(A19+A21)]]/ACOAETME2021[[#This Row],[Member Months]], "NA")</f>
        <v>NA</v>
      </c>
      <c r="AA110" s="232" t="str">
        <f>IFERROR(ACOAETME2021[[#This Row],[TOTAL Truncated Unadjusted Expenses (A20+A21)]]/ACOAETME2021[[#This Row],[Member Months]], "NA")</f>
        <v>NA</v>
      </c>
      <c r="AB110" s="504">
        <f>IFERROR(ACOAETME2021[[#This Row],[Total Claims Excluded because of Truncation]]/ACOAETME2021[[#This Row],[Count of Members with Claims Truncated]],0)</f>
        <v>0</v>
      </c>
      <c r="AC110" s="508">
        <f>IFERROR(ACOAETME2021[[#This Row],[Total Claims Excluded because of Truncation]]/ACOAETME2021[[#This Row],[TOTAL Non-Truncated Unadjusted Claims Expenses]],0)</f>
        <v>0</v>
      </c>
    </row>
    <row r="111" spans="1:29" x14ac:dyDescent="0.35">
      <c r="A111" s="176"/>
      <c r="B111" s="175"/>
      <c r="C111" s="179"/>
      <c r="D111" s="180"/>
      <c r="E111" s="181"/>
      <c r="F111" s="181"/>
      <c r="G111" s="181"/>
      <c r="H111" s="181"/>
      <c r="I111" s="181"/>
      <c r="J111" s="181"/>
      <c r="K111" s="181"/>
      <c r="L111" s="181"/>
      <c r="M111" s="181"/>
      <c r="N111" s="181"/>
      <c r="O111" s="181"/>
      <c r="P111" s="181"/>
      <c r="Q111" s="181"/>
      <c r="R111" s="181"/>
      <c r="S111" s="181"/>
      <c r="T111" s="181"/>
      <c r="U111"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11" s="182">
        <f>ACOAETME2021[[#This Row],[TOTAL Non-Truncated Unadjusted Claims Expenses]]-ACOAETME2021[[#This Row],[Total Claims Excluded because of Truncation]]</f>
        <v>0</v>
      </c>
      <c r="W111"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11" s="182">
        <f>ACOAETME2021[[#This Row],[TOTAL Non-Truncated Unadjusted Claims Expenses]]+ACOAETME2021[[#This Row],[TOTAL Non-Claims Expenses]]</f>
        <v>0</v>
      </c>
      <c r="Y111" s="182">
        <f>ACOAETME2021[[#This Row],[TOTAL Truncated Unadjusted Claims Expenses (A19 - A17)]]+ACOAETME2021[[#This Row],[TOTAL Non-Claims Expenses]]</f>
        <v>0</v>
      </c>
      <c r="Z111" s="540" t="str">
        <f>IFERROR(ACOAETME2021[[#This Row],[TOTAL Non-Truncated Unadjusted Expenses 
(A19+A21)]]/ACOAETME2021[[#This Row],[Member Months]], "NA")</f>
        <v>NA</v>
      </c>
      <c r="AA111" s="232" t="str">
        <f>IFERROR(ACOAETME2021[[#This Row],[TOTAL Truncated Unadjusted Expenses (A20+A21)]]/ACOAETME2021[[#This Row],[Member Months]], "NA")</f>
        <v>NA</v>
      </c>
      <c r="AB111" s="504">
        <f>IFERROR(ACOAETME2021[[#This Row],[Total Claims Excluded because of Truncation]]/ACOAETME2021[[#This Row],[Count of Members with Claims Truncated]],0)</f>
        <v>0</v>
      </c>
      <c r="AC111" s="508">
        <f>IFERROR(ACOAETME2021[[#This Row],[Total Claims Excluded because of Truncation]]/ACOAETME2021[[#This Row],[TOTAL Non-Truncated Unadjusted Claims Expenses]],0)</f>
        <v>0</v>
      </c>
    </row>
    <row r="112" spans="1:29" x14ac:dyDescent="0.35">
      <c r="A112" s="176"/>
      <c r="B112" s="175"/>
      <c r="C112" s="179"/>
      <c r="D112" s="180"/>
      <c r="E112" s="181"/>
      <c r="F112" s="181"/>
      <c r="G112" s="181"/>
      <c r="H112" s="181"/>
      <c r="I112" s="181"/>
      <c r="J112" s="181"/>
      <c r="K112" s="181"/>
      <c r="L112" s="181"/>
      <c r="M112" s="181"/>
      <c r="N112" s="181"/>
      <c r="O112" s="181"/>
      <c r="P112" s="181"/>
      <c r="Q112" s="181"/>
      <c r="R112" s="181"/>
      <c r="S112" s="181"/>
      <c r="T112" s="181"/>
      <c r="U112"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12" s="182">
        <f>ACOAETME2021[[#This Row],[TOTAL Non-Truncated Unadjusted Claims Expenses]]-ACOAETME2021[[#This Row],[Total Claims Excluded because of Truncation]]</f>
        <v>0</v>
      </c>
      <c r="W112"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12" s="182">
        <f>ACOAETME2021[[#This Row],[TOTAL Non-Truncated Unadjusted Claims Expenses]]+ACOAETME2021[[#This Row],[TOTAL Non-Claims Expenses]]</f>
        <v>0</v>
      </c>
      <c r="Y112" s="182">
        <f>ACOAETME2021[[#This Row],[TOTAL Truncated Unadjusted Claims Expenses (A19 - A17)]]+ACOAETME2021[[#This Row],[TOTAL Non-Claims Expenses]]</f>
        <v>0</v>
      </c>
      <c r="Z112" s="540" t="str">
        <f>IFERROR(ACOAETME2021[[#This Row],[TOTAL Non-Truncated Unadjusted Expenses 
(A19+A21)]]/ACOAETME2021[[#This Row],[Member Months]], "NA")</f>
        <v>NA</v>
      </c>
      <c r="AA112" s="232" t="str">
        <f>IFERROR(ACOAETME2021[[#This Row],[TOTAL Truncated Unadjusted Expenses (A20+A21)]]/ACOAETME2021[[#This Row],[Member Months]], "NA")</f>
        <v>NA</v>
      </c>
      <c r="AB112" s="504">
        <f>IFERROR(ACOAETME2021[[#This Row],[Total Claims Excluded because of Truncation]]/ACOAETME2021[[#This Row],[Count of Members with Claims Truncated]],0)</f>
        <v>0</v>
      </c>
      <c r="AC112" s="508">
        <f>IFERROR(ACOAETME2021[[#This Row],[Total Claims Excluded because of Truncation]]/ACOAETME2021[[#This Row],[TOTAL Non-Truncated Unadjusted Claims Expenses]],0)</f>
        <v>0</v>
      </c>
    </row>
    <row r="113" spans="1:29" x14ac:dyDescent="0.35">
      <c r="A113" s="176"/>
      <c r="B113" s="175"/>
      <c r="C113" s="179"/>
      <c r="D113" s="180"/>
      <c r="E113" s="181"/>
      <c r="F113" s="181"/>
      <c r="G113" s="181"/>
      <c r="H113" s="181"/>
      <c r="I113" s="181"/>
      <c r="J113" s="181"/>
      <c r="K113" s="181"/>
      <c r="L113" s="181"/>
      <c r="M113" s="181"/>
      <c r="N113" s="181"/>
      <c r="O113" s="181"/>
      <c r="P113" s="181"/>
      <c r="Q113" s="181"/>
      <c r="R113" s="181"/>
      <c r="S113" s="181"/>
      <c r="T113" s="181"/>
      <c r="U113"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13" s="182">
        <f>ACOAETME2021[[#This Row],[TOTAL Non-Truncated Unadjusted Claims Expenses]]-ACOAETME2021[[#This Row],[Total Claims Excluded because of Truncation]]</f>
        <v>0</v>
      </c>
      <c r="W113"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13" s="182">
        <f>ACOAETME2021[[#This Row],[TOTAL Non-Truncated Unadjusted Claims Expenses]]+ACOAETME2021[[#This Row],[TOTAL Non-Claims Expenses]]</f>
        <v>0</v>
      </c>
      <c r="Y113" s="182">
        <f>ACOAETME2021[[#This Row],[TOTAL Truncated Unadjusted Claims Expenses (A19 - A17)]]+ACOAETME2021[[#This Row],[TOTAL Non-Claims Expenses]]</f>
        <v>0</v>
      </c>
      <c r="Z113" s="540" t="str">
        <f>IFERROR(ACOAETME2021[[#This Row],[TOTAL Non-Truncated Unadjusted Expenses 
(A19+A21)]]/ACOAETME2021[[#This Row],[Member Months]], "NA")</f>
        <v>NA</v>
      </c>
      <c r="AA113" s="232" t="str">
        <f>IFERROR(ACOAETME2021[[#This Row],[TOTAL Truncated Unadjusted Expenses (A20+A21)]]/ACOAETME2021[[#This Row],[Member Months]], "NA")</f>
        <v>NA</v>
      </c>
      <c r="AB113" s="504">
        <f>IFERROR(ACOAETME2021[[#This Row],[Total Claims Excluded because of Truncation]]/ACOAETME2021[[#This Row],[Count of Members with Claims Truncated]],0)</f>
        <v>0</v>
      </c>
      <c r="AC113" s="508">
        <f>IFERROR(ACOAETME2021[[#This Row],[Total Claims Excluded because of Truncation]]/ACOAETME2021[[#This Row],[TOTAL Non-Truncated Unadjusted Claims Expenses]],0)</f>
        <v>0</v>
      </c>
    </row>
    <row r="114" spans="1:29" x14ac:dyDescent="0.35">
      <c r="A114" s="176"/>
      <c r="B114" s="175"/>
      <c r="C114" s="179"/>
      <c r="D114" s="180"/>
      <c r="E114" s="181"/>
      <c r="F114" s="181"/>
      <c r="G114" s="181"/>
      <c r="H114" s="181"/>
      <c r="I114" s="181"/>
      <c r="J114" s="181"/>
      <c r="K114" s="181"/>
      <c r="L114" s="181"/>
      <c r="M114" s="181"/>
      <c r="N114" s="181"/>
      <c r="O114" s="181"/>
      <c r="P114" s="181"/>
      <c r="Q114" s="181"/>
      <c r="R114" s="181"/>
      <c r="S114" s="181"/>
      <c r="T114" s="181"/>
      <c r="U114"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14" s="182">
        <f>ACOAETME2021[[#This Row],[TOTAL Non-Truncated Unadjusted Claims Expenses]]-ACOAETME2021[[#This Row],[Total Claims Excluded because of Truncation]]</f>
        <v>0</v>
      </c>
      <c r="W114"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14" s="182">
        <f>ACOAETME2021[[#This Row],[TOTAL Non-Truncated Unadjusted Claims Expenses]]+ACOAETME2021[[#This Row],[TOTAL Non-Claims Expenses]]</f>
        <v>0</v>
      </c>
      <c r="Y114" s="182">
        <f>ACOAETME2021[[#This Row],[TOTAL Truncated Unadjusted Claims Expenses (A19 - A17)]]+ACOAETME2021[[#This Row],[TOTAL Non-Claims Expenses]]</f>
        <v>0</v>
      </c>
      <c r="Z114" s="540" t="str">
        <f>IFERROR(ACOAETME2021[[#This Row],[TOTAL Non-Truncated Unadjusted Expenses 
(A19+A21)]]/ACOAETME2021[[#This Row],[Member Months]], "NA")</f>
        <v>NA</v>
      </c>
      <c r="AA114" s="232" t="str">
        <f>IFERROR(ACOAETME2021[[#This Row],[TOTAL Truncated Unadjusted Expenses (A20+A21)]]/ACOAETME2021[[#This Row],[Member Months]], "NA")</f>
        <v>NA</v>
      </c>
      <c r="AB114" s="504">
        <f>IFERROR(ACOAETME2021[[#This Row],[Total Claims Excluded because of Truncation]]/ACOAETME2021[[#This Row],[Count of Members with Claims Truncated]],0)</f>
        <v>0</v>
      </c>
      <c r="AC114" s="508">
        <f>IFERROR(ACOAETME2021[[#This Row],[Total Claims Excluded because of Truncation]]/ACOAETME2021[[#This Row],[TOTAL Non-Truncated Unadjusted Claims Expenses]],0)</f>
        <v>0</v>
      </c>
    </row>
    <row r="115" spans="1:29" x14ac:dyDescent="0.35">
      <c r="A115" s="176"/>
      <c r="B115" s="175"/>
      <c r="C115" s="179"/>
      <c r="D115" s="180"/>
      <c r="E115" s="181"/>
      <c r="F115" s="181"/>
      <c r="G115" s="181"/>
      <c r="H115" s="181"/>
      <c r="I115" s="181"/>
      <c r="J115" s="181"/>
      <c r="K115" s="181"/>
      <c r="L115" s="181"/>
      <c r="M115" s="181"/>
      <c r="N115" s="181"/>
      <c r="O115" s="181"/>
      <c r="P115" s="181"/>
      <c r="Q115" s="181"/>
      <c r="R115" s="181"/>
      <c r="S115" s="181"/>
      <c r="T115" s="181"/>
      <c r="U115"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15" s="182">
        <f>ACOAETME2021[[#This Row],[TOTAL Non-Truncated Unadjusted Claims Expenses]]-ACOAETME2021[[#This Row],[Total Claims Excluded because of Truncation]]</f>
        <v>0</v>
      </c>
      <c r="W115"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15" s="182">
        <f>ACOAETME2021[[#This Row],[TOTAL Non-Truncated Unadjusted Claims Expenses]]+ACOAETME2021[[#This Row],[TOTAL Non-Claims Expenses]]</f>
        <v>0</v>
      </c>
      <c r="Y115" s="182">
        <f>ACOAETME2021[[#This Row],[TOTAL Truncated Unadjusted Claims Expenses (A19 - A17)]]+ACOAETME2021[[#This Row],[TOTAL Non-Claims Expenses]]</f>
        <v>0</v>
      </c>
      <c r="Z115" s="540" t="str">
        <f>IFERROR(ACOAETME2021[[#This Row],[TOTAL Non-Truncated Unadjusted Expenses 
(A19+A21)]]/ACOAETME2021[[#This Row],[Member Months]], "NA")</f>
        <v>NA</v>
      </c>
      <c r="AA115" s="232" t="str">
        <f>IFERROR(ACOAETME2021[[#This Row],[TOTAL Truncated Unadjusted Expenses (A20+A21)]]/ACOAETME2021[[#This Row],[Member Months]], "NA")</f>
        <v>NA</v>
      </c>
      <c r="AB115" s="504">
        <f>IFERROR(ACOAETME2021[[#This Row],[Total Claims Excluded because of Truncation]]/ACOAETME2021[[#This Row],[Count of Members with Claims Truncated]],0)</f>
        <v>0</v>
      </c>
      <c r="AC115" s="508">
        <f>IFERROR(ACOAETME2021[[#This Row],[Total Claims Excluded because of Truncation]]/ACOAETME2021[[#This Row],[TOTAL Non-Truncated Unadjusted Claims Expenses]],0)</f>
        <v>0</v>
      </c>
    </row>
    <row r="116" spans="1:29" x14ac:dyDescent="0.35">
      <c r="A116" s="176"/>
      <c r="B116" s="175"/>
      <c r="C116" s="179"/>
      <c r="D116" s="180"/>
      <c r="E116" s="181"/>
      <c r="F116" s="181"/>
      <c r="G116" s="181"/>
      <c r="H116" s="181"/>
      <c r="I116" s="181"/>
      <c r="J116" s="181"/>
      <c r="K116" s="181"/>
      <c r="L116" s="181"/>
      <c r="M116" s="181"/>
      <c r="N116" s="181"/>
      <c r="O116" s="181"/>
      <c r="P116" s="181"/>
      <c r="Q116" s="181"/>
      <c r="R116" s="181"/>
      <c r="S116" s="181"/>
      <c r="T116" s="181"/>
      <c r="U116"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16" s="182">
        <f>ACOAETME2021[[#This Row],[TOTAL Non-Truncated Unadjusted Claims Expenses]]-ACOAETME2021[[#This Row],[Total Claims Excluded because of Truncation]]</f>
        <v>0</v>
      </c>
      <c r="W116"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16" s="182">
        <f>ACOAETME2021[[#This Row],[TOTAL Non-Truncated Unadjusted Claims Expenses]]+ACOAETME2021[[#This Row],[TOTAL Non-Claims Expenses]]</f>
        <v>0</v>
      </c>
      <c r="Y116" s="182">
        <f>ACOAETME2021[[#This Row],[TOTAL Truncated Unadjusted Claims Expenses (A19 - A17)]]+ACOAETME2021[[#This Row],[TOTAL Non-Claims Expenses]]</f>
        <v>0</v>
      </c>
      <c r="Z116" s="540" t="str">
        <f>IFERROR(ACOAETME2021[[#This Row],[TOTAL Non-Truncated Unadjusted Expenses 
(A19+A21)]]/ACOAETME2021[[#This Row],[Member Months]], "NA")</f>
        <v>NA</v>
      </c>
      <c r="AA116" s="232" t="str">
        <f>IFERROR(ACOAETME2021[[#This Row],[TOTAL Truncated Unadjusted Expenses (A20+A21)]]/ACOAETME2021[[#This Row],[Member Months]], "NA")</f>
        <v>NA</v>
      </c>
      <c r="AB116" s="504">
        <f>IFERROR(ACOAETME2021[[#This Row],[Total Claims Excluded because of Truncation]]/ACOAETME2021[[#This Row],[Count of Members with Claims Truncated]],0)</f>
        <v>0</v>
      </c>
      <c r="AC116" s="508">
        <f>IFERROR(ACOAETME2021[[#This Row],[Total Claims Excluded because of Truncation]]/ACOAETME2021[[#This Row],[TOTAL Non-Truncated Unadjusted Claims Expenses]],0)</f>
        <v>0</v>
      </c>
    </row>
    <row r="117" spans="1:29" x14ac:dyDescent="0.35">
      <c r="A117" s="176"/>
      <c r="B117" s="175"/>
      <c r="C117" s="179"/>
      <c r="D117" s="180"/>
      <c r="E117" s="181"/>
      <c r="F117" s="181"/>
      <c r="G117" s="181"/>
      <c r="H117" s="181"/>
      <c r="I117" s="181"/>
      <c r="J117" s="181"/>
      <c r="K117" s="181"/>
      <c r="L117" s="181"/>
      <c r="M117" s="181"/>
      <c r="N117" s="181"/>
      <c r="O117" s="181"/>
      <c r="P117" s="181"/>
      <c r="Q117" s="181"/>
      <c r="R117" s="181"/>
      <c r="S117" s="181"/>
      <c r="T117" s="181"/>
      <c r="U117"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17" s="182">
        <f>ACOAETME2021[[#This Row],[TOTAL Non-Truncated Unadjusted Claims Expenses]]-ACOAETME2021[[#This Row],[Total Claims Excluded because of Truncation]]</f>
        <v>0</v>
      </c>
      <c r="W117"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17" s="182">
        <f>ACOAETME2021[[#This Row],[TOTAL Non-Truncated Unadjusted Claims Expenses]]+ACOAETME2021[[#This Row],[TOTAL Non-Claims Expenses]]</f>
        <v>0</v>
      </c>
      <c r="Y117" s="182">
        <f>ACOAETME2021[[#This Row],[TOTAL Truncated Unadjusted Claims Expenses (A19 - A17)]]+ACOAETME2021[[#This Row],[TOTAL Non-Claims Expenses]]</f>
        <v>0</v>
      </c>
      <c r="Z117" s="540" t="str">
        <f>IFERROR(ACOAETME2021[[#This Row],[TOTAL Non-Truncated Unadjusted Expenses 
(A19+A21)]]/ACOAETME2021[[#This Row],[Member Months]], "NA")</f>
        <v>NA</v>
      </c>
      <c r="AA117" s="232" t="str">
        <f>IFERROR(ACOAETME2021[[#This Row],[TOTAL Truncated Unadjusted Expenses (A20+A21)]]/ACOAETME2021[[#This Row],[Member Months]], "NA")</f>
        <v>NA</v>
      </c>
      <c r="AB117" s="504">
        <f>IFERROR(ACOAETME2021[[#This Row],[Total Claims Excluded because of Truncation]]/ACOAETME2021[[#This Row],[Count of Members with Claims Truncated]],0)</f>
        <v>0</v>
      </c>
      <c r="AC117" s="508">
        <f>IFERROR(ACOAETME2021[[#This Row],[Total Claims Excluded because of Truncation]]/ACOAETME2021[[#This Row],[TOTAL Non-Truncated Unadjusted Claims Expenses]],0)</f>
        <v>0</v>
      </c>
    </row>
    <row r="118" spans="1:29" x14ac:dyDescent="0.35">
      <c r="A118" s="176"/>
      <c r="B118" s="175"/>
      <c r="C118" s="179"/>
      <c r="D118" s="180"/>
      <c r="E118" s="181"/>
      <c r="F118" s="181"/>
      <c r="G118" s="181"/>
      <c r="H118" s="181"/>
      <c r="I118" s="181"/>
      <c r="J118" s="181"/>
      <c r="K118" s="181"/>
      <c r="L118" s="181"/>
      <c r="M118" s="181"/>
      <c r="N118" s="181"/>
      <c r="O118" s="181"/>
      <c r="P118" s="181"/>
      <c r="Q118" s="181"/>
      <c r="R118" s="181"/>
      <c r="S118" s="181"/>
      <c r="T118" s="181"/>
      <c r="U118"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18" s="182">
        <f>ACOAETME2021[[#This Row],[TOTAL Non-Truncated Unadjusted Claims Expenses]]-ACOAETME2021[[#This Row],[Total Claims Excluded because of Truncation]]</f>
        <v>0</v>
      </c>
      <c r="W118"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18" s="182">
        <f>ACOAETME2021[[#This Row],[TOTAL Non-Truncated Unadjusted Claims Expenses]]+ACOAETME2021[[#This Row],[TOTAL Non-Claims Expenses]]</f>
        <v>0</v>
      </c>
      <c r="Y118" s="182">
        <f>ACOAETME2021[[#This Row],[TOTAL Truncated Unadjusted Claims Expenses (A19 - A17)]]+ACOAETME2021[[#This Row],[TOTAL Non-Claims Expenses]]</f>
        <v>0</v>
      </c>
      <c r="Z118" s="540" t="str">
        <f>IFERROR(ACOAETME2021[[#This Row],[TOTAL Non-Truncated Unadjusted Expenses 
(A19+A21)]]/ACOAETME2021[[#This Row],[Member Months]], "NA")</f>
        <v>NA</v>
      </c>
      <c r="AA118" s="232" t="str">
        <f>IFERROR(ACOAETME2021[[#This Row],[TOTAL Truncated Unadjusted Expenses (A20+A21)]]/ACOAETME2021[[#This Row],[Member Months]], "NA")</f>
        <v>NA</v>
      </c>
      <c r="AB118" s="504">
        <f>IFERROR(ACOAETME2021[[#This Row],[Total Claims Excluded because of Truncation]]/ACOAETME2021[[#This Row],[Count of Members with Claims Truncated]],0)</f>
        <v>0</v>
      </c>
      <c r="AC118" s="508">
        <f>IFERROR(ACOAETME2021[[#This Row],[Total Claims Excluded because of Truncation]]/ACOAETME2021[[#This Row],[TOTAL Non-Truncated Unadjusted Claims Expenses]],0)</f>
        <v>0</v>
      </c>
    </row>
    <row r="119" spans="1:29" x14ac:dyDescent="0.35">
      <c r="A119" s="176"/>
      <c r="B119" s="175"/>
      <c r="C119" s="179"/>
      <c r="D119" s="180"/>
      <c r="E119" s="181"/>
      <c r="F119" s="181"/>
      <c r="G119" s="181"/>
      <c r="H119" s="181"/>
      <c r="I119" s="181"/>
      <c r="J119" s="181"/>
      <c r="K119" s="181"/>
      <c r="L119" s="181"/>
      <c r="M119" s="181"/>
      <c r="N119" s="181"/>
      <c r="O119" s="181"/>
      <c r="P119" s="181"/>
      <c r="Q119" s="181"/>
      <c r="R119" s="181"/>
      <c r="S119" s="181"/>
      <c r="T119" s="181"/>
      <c r="U119"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19" s="182">
        <f>ACOAETME2021[[#This Row],[TOTAL Non-Truncated Unadjusted Claims Expenses]]-ACOAETME2021[[#This Row],[Total Claims Excluded because of Truncation]]</f>
        <v>0</v>
      </c>
      <c r="W119"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19" s="182">
        <f>ACOAETME2021[[#This Row],[TOTAL Non-Truncated Unadjusted Claims Expenses]]+ACOAETME2021[[#This Row],[TOTAL Non-Claims Expenses]]</f>
        <v>0</v>
      </c>
      <c r="Y119" s="182">
        <f>ACOAETME2021[[#This Row],[TOTAL Truncated Unadjusted Claims Expenses (A19 - A17)]]+ACOAETME2021[[#This Row],[TOTAL Non-Claims Expenses]]</f>
        <v>0</v>
      </c>
      <c r="Z119" s="540" t="str">
        <f>IFERROR(ACOAETME2021[[#This Row],[TOTAL Non-Truncated Unadjusted Expenses 
(A19+A21)]]/ACOAETME2021[[#This Row],[Member Months]], "NA")</f>
        <v>NA</v>
      </c>
      <c r="AA119" s="232" t="str">
        <f>IFERROR(ACOAETME2021[[#This Row],[TOTAL Truncated Unadjusted Expenses (A20+A21)]]/ACOAETME2021[[#This Row],[Member Months]], "NA")</f>
        <v>NA</v>
      </c>
      <c r="AB119" s="504">
        <f>IFERROR(ACOAETME2021[[#This Row],[Total Claims Excluded because of Truncation]]/ACOAETME2021[[#This Row],[Count of Members with Claims Truncated]],0)</f>
        <v>0</v>
      </c>
      <c r="AC119" s="508">
        <f>IFERROR(ACOAETME2021[[#This Row],[Total Claims Excluded because of Truncation]]/ACOAETME2021[[#This Row],[TOTAL Non-Truncated Unadjusted Claims Expenses]],0)</f>
        <v>0</v>
      </c>
    </row>
    <row r="120" spans="1:29" x14ac:dyDescent="0.35">
      <c r="A120" s="176"/>
      <c r="B120" s="175"/>
      <c r="C120" s="179"/>
      <c r="D120" s="180"/>
      <c r="E120" s="181"/>
      <c r="F120" s="181"/>
      <c r="G120" s="181"/>
      <c r="H120" s="181"/>
      <c r="I120" s="181"/>
      <c r="J120" s="181"/>
      <c r="K120" s="181"/>
      <c r="L120" s="181"/>
      <c r="M120" s="181"/>
      <c r="N120" s="181"/>
      <c r="O120" s="181"/>
      <c r="P120" s="181"/>
      <c r="Q120" s="181"/>
      <c r="R120" s="181"/>
      <c r="S120" s="181"/>
      <c r="T120" s="181"/>
      <c r="U120"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20" s="182">
        <f>ACOAETME2021[[#This Row],[TOTAL Non-Truncated Unadjusted Claims Expenses]]-ACOAETME2021[[#This Row],[Total Claims Excluded because of Truncation]]</f>
        <v>0</v>
      </c>
      <c r="W120"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20" s="182">
        <f>ACOAETME2021[[#This Row],[TOTAL Non-Truncated Unadjusted Claims Expenses]]+ACOAETME2021[[#This Row],[TOTAL Non-Claims Expenses]]</f>
        <v>0</v>
      </c>
      <c r="Y120" s="182">
        <f>ACOAETME2021[[#This Row],[TOTAL Truncated Unadjusted Claims Expenses (A19 - A17)]]+ACOAETME2021[[#This Row],[TOTAL Non-Claims Expenses]]</f>
        <v>0</v>
      </c>
      <c r="Z120" s="540" t="str">
        <f>IFERROR(ACOAETME2021[[#This Row],[TOTAL Non-Truncated Unadjusted Expenses 
(A19+A21)]]/ACOAETME2021[[#This Row],[Member Months]], "NA")</f>
        <v>NA</v>
      </c>
      <c r="AA120" s="232" t="str">
        <f>IFERROR(ACOAETME2021[[#This Row],[TOTAL Truncated Unadjusted Expenses (A20+A21)]]/ACOAETME2021[[#This Row],[Member Months]], "NA")</f>
        <v>NA</v>
      </c>
      <c r="AB120" s="504">
        <f>IFERROR(ACOAETME2021[[#This Row],[Total Claims Excluded because of Truncation]]/ACOAETME2021[[#This Row],[Count of Members with Claims Truncated]],0)</f>
        <v>0</v>
      </c>
      <c r="AC120" s="508">
        <f>IFERROR(ACOAETME2021[[#This Row],[Total Claims Excluded because of Truncation]]/ACOAETME2021[[#This Row],[TOTAL Non-Truncated Unadjusted Claims Expenses]],0)</f>
        <v>0</v>
      </c>
    </row>
    <row r="121" spans="1:29" x14ac:dyDescent="0.35">
      <c r="A121" s="176"/>
      <c r="B121" s="175"/>
      <c r="C121" s="179"/>
      <c r="D121" s="180"/>
      <c r="E121" s="181"/>
      <c r="F121" s="181"/>
      <c r="G121" s="181"/>
      <c r="H121" s="181"/>
      <c r="I121" s="181"/>
      <c r="J121" s="181"/>
      <c r="K121" s="181"/>
      <c r="L121" s="181"/>
      <c r="M121" s="181"/>
      <c r="N121" s="181"/>
      <c r="O121" s="181"/>
      <c r="P121" s="181"/>
      <c r="Q121" s="181"/>
      <c r="R121" s="181"/>
      <c r="S121" s="181"/>
      <c r="T121" s="181"/>
      <c r="U121"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21" s="182">
        <f>ACOAETME2021[[#This Row],[TOTAL Non-Truncated Unadjusted Claims Expenses]]-ACOAETME2021[[#This Row],[Total Claims Excluded because of Truncation]]</f>
        <v>0</v>
      </c>
      <c r="W121"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21" s="182">
        <f>ACOAETME2021[[#This Row],[TOTAL Non-Truncated Unadjusted Claims Expenses]]+ACOAETME2021[[#This Row],[TOTAL Non-Claims Expenses]]</f>
        <v>0</v>
      </c>
      <c r="Y121" s="182">
        <f>ACOAETME2021[[#This Row],[TOTAL Truncated Unadjusted Claims Expenses (A19 - A17)]]+ACOAETME2021[[#This Row],[TOTAL Non-Claims Expenses]]</f>
        <v>0</v>
      </c>
      <c r="Z121" s="540" t="str">
        <f>IFERROR(ACOAETME2021[[#This Row],[TOTAL Non-Truncated Unadjusted Expenses 
(A19+A21)]]/ACOAETME2021[[#This Row],[Member Months]], "NA")</f>
        <v>NA</v>
      </c>
      <c r="AA121" s="232" t="str">
        <f>IFERROR(ACOAETME2021[[#This Row],[TOTAL Truncated Unadjusted Expenses (A20+A21)]]/ACOAETME2021[[#This Row],[Member Months]], "NA")</f>
        <v>NA</v>
      </c>
      <c r="AB121" s="504">
        <f>IFERROR(ACOAETME2021[[#This Row],[Total Claims Excluded because of Truncation]]/ACOAETME2021[[#This Row],[Count of Members with Claims Truncated]],0)</f>
        <v>0</v>
      </c>
      <c r="AC121" s="508">
        <f>IFERROR(ACOAETME2021[[#This Row],[Total Claims Excluded because of Truncation]]/ACOAETME2021[[#This Row],[TOTAL Non-Truncated Unadjusted Claims Expenses]],0)</f>
        <v>0</v>
      </c>
    </row>
    <row r="122" spans="1:29" x14ac:dyDescent="0.35">
      <c r="A122" s="176"/>
      <c r="B122" s="175"/>
      <c r="C122" s="179"/>
      <c r="D122" s="180"/>
      <c r="E122" s="181"/>
      <c r="F122" s="181"/>
      <c r="G122" s="181"/>
      <c r="H122" s="181"/>
      <c r="I122" s="181"/>
      <c r="J122" s="181"/>
      <c r="K122" s="181"/>
      <c r="L122" s="181"/>
      <c r="M122" s="181"/>
      <c r="N122" s="181"/>
      <c r="O122" s="181"/>
      <c r="P122" s="181"/>
      <c r="Q122" s="181"/>
      <c r="R122" s="181"/>
      <c r="S122" s="181"/>
      <c r="T122" s="181"/>
      <c r="U122"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22" s="182">
        <f>ACOAETME2021[[#This Row],[TOTAL Non-Truncated Unadjusted Claims Expenses]]-ACOAETME2021[[#This Row],[Total Claims Excluded because of Truncation]]</f>
        <v>0</v>
      </c>
      <c r="W122"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22" s="182">
        <f>ACOAETME2021[[#This Row],[TOTAL Non-Truncated Unadjusted Claims Expenses]]+ACOAETME2021[[#This Row],[TOTAL Non-Claims Expenses]]</f>
        <v>0</v>
      </c>
      <c r="Y122" s="182">
        <f>ACOAETME2021[[#This Row],[TOTAL Truncated Unadjusted Claims Expenses (A19 - A17)]]+ACOAETME2021[[#This Row],[TOTAL Non-Claims Expenses]]</f>
        <v>0</v>
      </c>
      <c r="Z122" s="540" t="str">
        <f>IFERROR(ACOAETME2021[[#This Row],[TOTAL Non-Truncated Unadjusted Expenses 
(A19+A21)]]/ACOAETME2021[[#This Row],[Member Months]], "NA")</f>
        <v>NA</v>
      </c>
      <c r="AA122" s="232" t="str">
        <f>IFERROR(ACOAETME2021[[#This Row],[TOTAL Truncated Unadjusted Expenses (A20+A21)]]/ACOAETME2021[[#This Row],[Member Months]], "NA")</f>
        <v>NA</v>
      </c>
      <c r="AB122" s="504">
        <f>IFERROR(ACOAETME2021[[#This Row],[Total Claims Excluded because of Truncation]]/ACOAETME2021[[#This Row],[Count of Members with Claims Truncated]],0)</f>
        <v>0</v>
      </c>
      <c r="AC122" s="508">
        <f>IFERROR(ACOAETME2021[[#This Row],[Total Claims Excluded because of Truncation]]/ACOAETME2021[[#This Row],[TOTAL Non-Truncated Unadjusted Claims Expenses]],0)</f>
        <v>0</v>
      </c>
    </row>
    <row r="123" spans="1:29" x14ac:dyDescent="0.35">
      <c r="A123" s="176"/>
      <c r="B123" s="175"/>
      <c r="C123" s="179"/>
      <c r="D123" s="180"/>
      <c r="E123" s="181"/>
      <c r="F123" s="181"/>
      <c r="G123" s="181"/>
      <c r="H123" s="181"/>
      <c r="I123" s="181"/>
      <c r="J123" s="181"/>
      <c r="K123" s="181"/>
      <c r="L123" s="181"/>
      <c r="M123" s="181"/>
      <c r="N123" s="181"/>
      <c r="O123" s="181"/>
      <c r="P123" s="181"/>
      <c r="Q123" s="181"/>
      <c r="R123" s="181"/>
      <c r="S123" s="181"/>
      <c r="T123" s="181"/>
      <c r="U123"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23" s="182">
        <f>ACOAETME2021[[#This Row],[TOTAL Non-Truncated Unadjusted Claims Expenses]]-ACOAETME2021[[#This Row],[Total Claims Excluded because of Truncation]]</f>
        <v>0</v>
      </c>
      <c r="W123"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23" s="182">
        <f>ACOAETME2021[[#This Row],[TOTAL Non-Truncated Unadjusted Claims Expenses]]+ACOAETME2021[[#This Row],[TOTAL Non-Claims Expenses]]</f>
        <v>0</v>
      </c>
      <c r="Y123" s="182">
        <f>ACOAETME2021[[#This Row],[TOTAL Truncated Unadjusted Claims Expenses (A19 - A17)]]+ACOAETME2021[[#This Row],[TOTAL Non-Claims Expenses]]</f>
        <v>0</v>
      </c>
      <c r="Z123" s="540" t="str">
        <f>IFERROR(ACOAETME2021[[#This Row],[TOTAL Non-Truncated Unadjusted Expenses 
(A19+A21)]]/ACOAETME2021[[#This Row],[Member Months]], "NA")</f>
        <v>NA</v>
      </c>
      <c r="AA123" s="232" t="str">
        <f>IFERROR(ACOAETME2021[[#This Row],[TOTAL Truncated Unadjusted Expenses (A20+A21)]]/ACOAETME2021[[#This Row],[Member Months]], "NA")</f>
        <v>NA</v>
      </c>
      <c r="AB123" s="504">
        <f>IFERROR(ACOAETME2021[[#This Row],[Total Claims Excluded because of Truncation]]/ACOAETME2021[[#This Row],[Count of Members with Claims Truncated]],0)</f>
        <v>0</v>
      </c>
      <c r="AC123" s="508">
        <f>IFERROR(ACOAETME2021[[#This Row],[Total Claims Excluded because of Truncation]]/ACOAETME2021[[#This Row],[TOTAL Non-Truncated Unadjusted Claims Expenses]],0)</f>
        <v>0</v>
      </c>
    </row>
    <row r="124" spans="1:29" x14ac:dyDescent="0.35">
      <c r="A124" s="176"/>
      <c r="B124" s="175"/>
      <c r="C124" s="179"/>
      <c r="D124" s="180"/>
      <c r="E124" s="181"/>
      <c r="F124" s="181"/>
      <c r="G124" s="181"/>
      <c r="H124" s="181"/>
      <c r="I124" s="181"/>
      <c r="J124" s="181"/>
      <c r="K124" s="181"/>
      <c r="L124" s="181"/>
      <c r="M124" s="181"/>
      <c r="N124" s="181"/>
      <c r="O124" s="181"/>
      <c r="P124" s="181"/>
      <c r="Q124" s="181"/>
      <c r="R124" s="181"/>
      <c r="S124" s="181"/>
      <c r="T124" s="181"/>
      <c r="U124"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24" s="182">
        <f>ACOAETME2021[[#This Row],[TOTAL Non-Truncated Unadjusted Claims Expenses]]-ACOAETME2021[[#This Row],[Total Claims Excluded because of Truncation]]</f>
        <v>0</v>
      </c>
      <c r="W124"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24" s="182">
        <f>ACOAETME2021[[#This Row],[TOTAL Non-Truncated Unadjusted Claims Expenses]]+ACOAETME2021[[#This Row],[TOTAL Non-Claims Expenses]]</f>
        <v>0</v>
      </c>
      <c r="Y124" s="182">
        <f>ACOAETME2021[[#This Row],[TOTAL Truncated Unadjusted Claims Expenses (A19 - A17)]]+ACOAETME2021[[#This Row],[TOTAL Non-Claims Expenses]]</f>
        <v>0</v>
      </c>
      <c r="Z124" s="540" t="str">
        <f>IFERROR(ACOAETME2021[[#This Row],[TOTAL Non-Truncated Unadjusted Expenses 
(A19+A21)]]/ACOAETME2021[[#This Row],[Member Months]], "NA")</f>
        <v>NA</v>
      </c>
      <c r="AA124" s="232" t="str">
        <f>IFERROR(ACOAETME2021[[#This Row],[TOTAL Truncated Unadjusted Expenses (A20+A21)]]/ACOAETME2021[[#This Row],[Member Months]], "NA")</f>
        <v>NA</v>
      </c>
      <c r="AB124" s="504">
        <f>IFERROR(ACOAETME2021[[#This Row],[Total Claims Excluded because of Truncation]]/ACOAETME2021[[#This Row],[Count of Members with Claims Truncated]],0)</f>
        <v>0</v>
      </c>
      <c r="AC124" s="508">
        <f>IFERROR(ACOAETME2021[[#This Row],[Total Claims Excluded because of Truncation]]/ACOAETME2021[[#This Row],[TOTAL Non-Truncated Unadjusted Claims Expenses]],0)</f>
        <v>0</v>
      </c>
    </row>
    <row r="125" spans="1:29" x14ac:dyDescent="0.35">
      <c r="A125" s="176"/>
      <c r="B125" s="175"/>
      <c r="C125" s="179"/>
      <c r="D125" s="180"/>
      <c r="E125" s="181"/>
      <c r="F125" s="181"/>
      <c r="G125" s="181"/>
      <c r="H125" s="181"/>
      <c r="I125" s="181"/>
      <c r="J125" s="181"/>
      <c r="K125" s="181"/>
      <c r="L125" s="181"/>
      <c r="M125" s="181"/>
      <c r="N125" s="181"/>
      <c r="O125" s="181"/>
      <c r="P125" s="181"/>
      <c r="Q125" s="181"/>
      <c r="R125" s="181"/>
      <c r="S125" s="181"/>
      <c r="T125" s="181"/>
      <c r="U125"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25" s="182">
        <f>ACOAETME2021[[#This Row],[TOTAL Non-Truncated Unadjusted Claims Expenses]]-ACOAETME2021[[#This Row],[Total Claims Excluded because of Truncation]]</f>
        <v>0</v>
      </c>
      <c r="W125"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25" s="182">
        <f>ACOAETME2021[[#This Row],[TOTAL Non-Truncated Unadjusted Claims Expenses]]+ACOAETME2021[[#This Row],[TOTAL Non-Claims Expenses]]</f>
        <v>0</v>
      </c>
      <c r="Y125" s="182">
        <f>ACOAETME2021[[#This Row],[TOTAL Truncated Unadjusted Claims Expenses (A19 - A17)]]+ACOAETME2021[[#This Row],[TOTAL Non-Claims Expenses]]</f>
        <v>0</v>
      </c>
      <c r="Z125" s="540" t="str">
        <f>IFERROR(ACOAETME2021[[#This Row],[TOTAL Non-Truncated Unadjusted Expenses 
(A19+A21)]]/ACOAETME2021[[#This Row],[Member Months]], "NA")</f>
        <v>NA</v>
      </c>
      <c r="AA125" s="232" t="str">
        <f>IFERROR(ACOAETME2021[[#This Row],[TOTAL Truncated Unadjusted Expenses (A20+A21)]]/ACOAETME2021[[#This Row],[Member Months]], "NA")</f>
        <v>NA</v>
      </c>
      <c r="AB125" s="504">
        <f>IFERROR(ACOAETME2021[[#This Row],[Total Claims Excluded because of Truncation]]/ACOAETME2021[[#This Row],[Count of Members with Claims Truncated]],0)</f>
        <v>0</v>
      </c>
      <c r="AC125" s="508">
        <f>IFERROR(ACOAETME2021[[#This Row],[Total Claims Excluded because of Truncation]]/ACOAETME2021[[#This Row],[TOTAL Non-Truncated Unadjusted Claims Expenses]],0)</f>
        <v>0</v>
      </c>
    </row>
    <row r="126" spans="1:29" x14ac:dyDescent="0.35">
      <c r="A126" s="176"/>
      <c r="B126" s="175"/>
      <c r="C126" s="179"/>
      <c r="D126" s="180"/>
      <c r="E126" s="181"/>
      <c r="F126" s="181"/>
      <c r="G126" s="181"/>
      <c r="H126" s="181"/>
      <c r="I126" s="181"/>
      <c r="J126" s="181"/>
      <c r="K126" s="181"/>
      <c r="L126" s="181"/>
      <c r="M126" s="181"/>
      <c r="N126" s="181"/>
      <c r="O126" s="181"/>
      <c r="P126" s="181"/>
      <c r="Q126" s="181"/>
      <c r="R126" s="181"/>
      <c r="S126" s="181"/>
      <c r="T126" s="181"/>
      <c r="U126"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26" s="182">
        <f>ACOAETME2021[[#This Row],[TOTAL Non-Truncated Unadjusted Claims Expenses]]-ACOAETME2021[[#This Row],[Total Claims Excluded because of Truncation]]</f>
        <v>0</v>
      </c>
      <c r="W126"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26" s="182">
        <f>ACOAETME2021[[#This Row],[TOTAL Non-Truncated Unadjusted Claims Expenses]]+ACOAETME2021[[#This Row],[TOTAL Non-Claims Expenses]]</f>
        <v>0</v>
      </c>
      <c r="Y126" s="182">
        <f>ACOAETME2021[[#This Row],[TOTAL Truncated Unadjusted Claims Expenses (A19 - A17)]]+ACOAETME2021[[#This Row],[TOTAL Non-Claims Expenses]]</f>
        <v>0</v>
      </c>
      <c r="Z126" s="540" t="str">
        <f>IFERROR(ACOAETME2021[[#This Row],[TOTAL Non-Truncated Unadjusted Expenses 
(A19+A21)]]/ACOAETME2021[[#This Row],[Member Months]], "NA")</f>
        <v>NA</v>
      </c>
      <c r="AA126" s="232" t="str">
        <f>IFERROR(ACOAETME2021[[#This Row],[TOTAL Truncated Unadjusted Expenses (A20+A21)]]/ACOAETME2021[[#This Row],[Member Months]], "NA")</f>
        <v>NA</v>
      </c>
      <c r="AB126" s="504">
        <f>IFERROR(ACOAETME2021[[#This Row],[Total Claims Excluded because of Truncation]]/ACOAETME2021[[#This Row],[Count of Members with Claims Truncated]],0)</f>
        <v>0</v>
      </c>
      <c r="AC126" s="508">
        <f>IFERROR(ACOAETME2021[[#This Row],[Total Claims Excluded because of Truncation]]/ACOAETME2021[[#This Row],[TOTAL Non-Truncated Unadjusted Claims Expenses]],0)</f>
        <v>0</v>
      </c>
    </row>
    <row r="127" spans="1:29" x14ac:dyDescent="0.35">
      <c r="A127" s="176"/>
      <c r="B127" s="175"/>
      <c r="C127" s="179"/>
      <c r="D127" s="180"/>
      <c r="E127" s="181"/>
      <c r="F127" s="181"/>
      <c r="G127" s="181"/>
      <c r="H127" s="181"/>
      <c r="I127" s="181"/>
      <c r="J127" s="181"/>
      <c r="K127" s="181"/>
      <c r="L127" s="181"/>
      <c r="M127" s="181"/>
      <c r="N127" s="181"/>
      <c r="O127" s="181"/>
      <c r="P127" s="181"/>
      <c r="Q127" s="181"/>
      <c r="R127" s="181"/>
      <c r="S127" s="181"/>
      <c r="T127" s="181"/>
      <c r="U127"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27" s="182">
        <f>ACOAETME2021[[#This Row],[TOTAL Non-Truncated Unadjusted Claims Expenses]]-ACOAETME2021[[#This Row],[Total Claims Excluded because of Truncation]]</f>
        <v>0</v>
      </c>
      <c r="W127"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27" s="182">
        <f>ACOAETME2021[[#This Row],[TOTAL Non-Truncated Unadjusted Claims Expenses]]+ACOAETME2021[[#This Row],[TOTAL Non-Claims Expenses]]</f>
        <v>0</v>
      </c>
      <c r="Y127" s="182">
        <f>ACOAETME2021[[#This Row],[TOTAL Truncated Unadjusted Claims Expenses (A19 - A17)]]+ACOAETME2021[[#This Row],[TOTAL Non-Claims Expenses]]</f>
        <v>0</v>
      </c>
      <c r="Z127" s="540" t="str">
        <f>IFERROR(ACOAETME2021[[#This Row],[TOTAL Non-Truncated Unadjusted Expenses 
(A19+A21)]]/ACOAETME2021[[#This Row],[Member Months]], "NA")</f>
        <v>NA</v>
      </c>
      <c r="AA127" s="232" t="str">
        <f>IFERROR(ACOAETME2021[[#This Row],[TOTAL Truncated Unadjusted Expenses (A20+A21)]]/ACOAETME2021[[#This Row],[Member Months]], "NA")</f>
        <v>NA</v>
      </c>
      <c r="AB127" s="504">
        <f>IFERROR(ACOAETME2021[[#This Row],[Total Claims Excluded because of Truncation]]/ACOAETME2021[[#This Row],[Count of Members with Claims Truncated]],0)</f>
        <v>0</v>
      </c>
      <c r="AC127" s="508">
        <f>IFERROR(ACOAETME2021[[#This Row],[Total Claims Excluded because of Truncation]]/ACOAETME2021[[#This Row],[TOTAL Non-Truncated Unadjusted Claims Expenses]],0)</f>
        <v>0</v>
      </c>
    </row>
    <row r="128" spans="1:29" x14ac:dyDescent="0.35">
      <c r="A128" s="176"/>
      <c r="B128" s="175"/>
      <c r="C128" s="179"/>
      <c r="D128" s="180"/>
      <c r="E128" s="181"/>
      <c r="F128" s="181"/>
      <c r="G128" s="181"/>
      <c r="H128" s="181"/>
      <c r="I128" s="181"/>
      <c r="J128" s="181"/>
      <c r="K128" s="181"/>
      <c r="L128" s="181"/>
      <c r="M128" s="181"/>
      <c r="N128" s="181"/>
      <c r="O128" s="181"/>
      <c r="P128" s="181"/>
      <c r="Q128" s="181"/>
      <c r="R128" s="181"/>
      <c r="S128" s="181"/>
      <c r="T128" s="181"/>
      <c r="U128"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28" s="182">
        <f>ACOAETME2021[[#This Row],[TOTAL Non-Truncated Unadjusted Claims Expenses]]-ACOAETME2021[[#This Row],[Total Claims Excluded because of Truncation]]</f>
        <v>0</v>
      </c>
      <c r="W128"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28" s="182">
        <f>ACOAETME2021[[#This Row],[TOTAL Non-Truncated Unadjusted Claims Expenses]]+ACOAETME2021[[#This Row],[TOTAL Non-Claims Expenses]]</f>
        <v>0</v>
      </c>
      <c r="Y128" s="182">
        <f>ACOAETME2021[[#This Row],[TOTAL Truncated Unadjusted Claims Expenses (A19 - A17)]]+ACOAETME2021[[#This Row],[TOTAL Non-Claims Expenses]]</f>
        <v>0</v>
      </c>
      <c r="Z128" s="540" t="str">
        <f>IFERROR(ACOAETME2021[[#This Row],[TOTAL Non-Truncated Unadjusted Expenses 
(A19+A21)]]/ACOAETME2021[[#This Row],[Member Months]], "NA")</f>
        <v>NA</v>
      </c>
      <c r="AA128" s="232" t="str">
        <f>IFERROR(ACOAETME2021[[#This Row],[TOTAL Truncated Unadjusted Expenses (A20+A21)]]/ACOAETME2021[[#This Row],[Member Months]], "NA")</f>
        <v>NA</v>
      </c>
      <c r="AB128" s="504">
        <f>IFERROR(ACOAETME2021[[#This Row],[Total Claims Excluded because of Truncation]]/ACOAETME2021[[#This Row],[Count of Members with Claims Truncated]],0)</f>
        <v>0</v>
      </c>
      <c r="AC128" s="508">
        <f>IFERROR(ACOAETME2021[[#This Row],[Total Claims Excluded because of Truncation]]/ACOAETME2021[[#This Row],[TOTAL Non-Truncated Unadjusted Claims Expenses]],0)</f>
        <v>0</v>
      </c>
    </row>
    <row r="129" spans="1:29" x14ac:dyDescent="0.35">
      <c r="A129" s="176"/>
      <c r="B129" s="175"/>
      <c r="C129" s="179"/>
      <c r="D129" s="180"/>
      <c r="E129" s="181"/>
      <c r="F129" s="181"/>
      <c r="G129" s="181"/>
      <c r="H129" s="181"/>
      <c r="I129" s="181"/>
      <c r="J129" s="181"/>
      <c r="K129" s="181"/>
      <c r="L129" s="181"/>
      <c r="M129" s="181"/>
      <c r="N129" s="181"/>
      <c r="O129" s="181"/>
      <c r="P129" s="181"/>
      <c r="Q129" s="181"/>
      <c r="R129" s="181"/>
      <c r="S129" s="181"/>
      <c r="T129" s="181"/>
      <c r="U129"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29" s="182">
        <f>ACOAETME2021[[#This Row],[TOTAL Non-Truncated Unadjusted Claims Expenses]]-ACOAETME2021[[#This Row],[Total Claims Excluded because of Truncation]]</f>
        <v>0</v>
      </c>
      <c r="W129"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29" s="182">
        <f>ACOAETME2021[[#This Row],[TOTAL Non-Truncated Unadjusted Claims Expenses]]+ACOAETME2021[[#This Row],[TOTAL Non-Claims Expenses]]</f>
        <v>0</v>
      </c>
      <c r="Y129" s="182">
        <f>ACOAETME2021[[#This Row],[TOTAL Truncated Unadjusted Claims Expenses (A19 - A17)]]+ACOAETME2021[[#This Row],[TOTAL Non-Claims Expenses]]</f>
        <v>0</v>
      </c>
      <c r="Z129" s="540" t="str">
        <f>IFERROR(ACOAETME2021[[#This Row],[TOTAL Non-Truncated Unadjusted Expenses 
(A19+A21)]]/ACOAETME2021[[#This Row],[Member Months]], "NA")</f>
        <v>NA</v>
      </c>
      <c r="AA129" s="232" t="str">
        <f>IFERROR(ACOAETME2021[[#This Row],[TOTAL Truncated Unadjusted Expenses (A20+A21)]]/ACOAETME2021[[#This Row],[Member Months]], "NA")</f>
        <v>NA</v>
      </c>
      <c r="AB129" s="504">
        <f>IFERROR(ACOAETME2021[[#This Row],[Total Claims Excluded because of Truncation]]/ACOAETME2021[[#This Row],[Count of Members with Claims Truncated]],0)</f>
        <v>0</v>
      </c>
      <c r="AC129" s="508">
        <f>IFERROR(ACOAETME2021[[#This Row],[Total Claims Excluded because of Truncation]]/ACOAETME2021[[#This Row],[TOTAL Non-Truncated Unadjusted Claims Expenses]],0)</f>
        <v>0</v>
      </c>
    </row>
    <row r="130" spans="1:29" x14ac:dyDescent="0.35">
      <c r="A130" s="176"/>
      <c r="B130" s="175"/>
      <c r="C130" s="179"/>
      <c r="D130" s="180"/>
      <c r="E130" s="181"/>
      <c r="F130" s="181"/>
      <c r="G130" s="181"/>
      <c r="H130" s="181"/>
      <c r="I130" s="181"/>
      <c r="J130" s="181"/>
      <c r="K130" s="181"/>
      <c r="L130" s="181"/>
      <c r="M130" s="181"/>
      <c r="N130" s="181"/>
      <c r="O130" s="181"/>
      <c r="P130" s="181"/>
      <c r="Q130" s="181"/>
      <c r="R130" s="181"/>
      <c r="S130" s="181"/>
      <c r="T130" s="181"/>
      <c r="U130"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30" s="182">
        <f>ACOAETME2021[[#This Row],[TOTAL Non-Truncated Unadjusted Claims Expenses]]-ACOAETME2021[[#This Row],[Total Claims Excluded because of Truncation]]</f>
        <v>0</v>
      </c>
      <c r="W130"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30" s="182">
        <f>ACOAETME2021[[#This Row],[TOTAL Non-Truncated Unadjusted Claims Expenses]]+ACOAETME2021[[#This Row],[TOTAL Non-Claims Expenses]]</f>
        <v>0</v>
      </c>
      <c r="Y130" s="182">
        <f>ACOAETME2021[[#This Row],[TOTAL Truncated Unadjusted Claims Expenses (A19 - A17)]]+ACOAETME2021[[#This Row],[TOTAL Non-Claims Expenses]]</f>
        <v>0</v>
      </c>
      <c r="Z130" s="540" t="str">
        <f>IFERROR(ACOAETME2021[[#This Row],[TOTAL Non-Truncated Unadjusted Expenses 
(A19+A21)]]/ACOAETME2021[[#This Row],[Member Months]], "NA")</f>
        <v>NA</v>
      </c>
      <c r="AA130" s="232" t="str">
        <f>IFERROR(ACOAETME2021[[#This Row],[TOTAL Truncated Unadjusted Expenses (A20+A21)]]/ACOAETME2021[[#This Row],[Member Months]], "NA")</f>
        <v>NA</v>
      </c>
      <c r="AB130" s="504">
        <f>IFERROR(ACOAETME2021[[#This Row],[Total Claims Excluded because of Truncation]]/ACOAETME2021[[#This Row],[Count of Members with Claims Truncated]],0)</f>
        <v>0</v>
      </c>
      <c r="AC130" s="508">
        <f>IFERROR(ACOAETME2021[[#This Row],[Total Claims Excluded because of Truncation]]/ACOAETME2021[[#This Row],[TOTAL Non-Truncated Unadjusted Claims Expenses]],0)</f>
        <v>0</v>
      </c>
    </row>
    <row r="131" spans="1:29" x14ac:dyDescent="0.35">
      <c r="A131" s="176"/>
      <c r="B131" s="175"/>
      <c r="C131" s="179"/>
      <c r="D131" s="180"/>
      <c r="E131" s="181"/>
      <c r="F131" s="181"/>
      <c r="G131" s="181"/>
      <c r="H131" s="181"/>
      <c r="I131" s="181"/>
      <c r="J131" s="181"/>
      <c r="K131" s="181"/>
      <c r="L131" s="181"/>
      <c r="M131" s="181"/>
      <c r="N131" s="181"/>
      <c r="O131" s="181"/>
      <c r="P131" s="181"/>
      <c r="Q131" s="181"/>
      <c r="R131" s="181"/>
      <c r="S131" s="181"/>
      <c r="T131" s="181"/>
      <c r="U131"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31" s="182">
        <f>ACOAETME2021[[#This Row],[TOTAL Non-Truncated Unadjusted Claims Expenses]]-ACOAETME2021[[#This Row],[Total Claims Excluded because of Truncation]]</f>
        <v>0</v>
      </c>
      <c r="W131"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31" s="182">
        <f>ACOAETME2021[[#This Row],[TOTAL Non-Truncated Unadjusted Claims Expenses]]+ACOAETME2021[[#This Row],[TOTAL Non-Claims Expenses]]</f>
        <v>0</v>
      </c>
      <c r="Y131" s="182">
        <f>ACOAETME2021[[#This Row],[TOTAL Truncated Unadjusted Claims Expenses (A19 - A17)]]+ACOAETME2021[[#This Row],[TOTAL Non-Claims Expenses]]</f>
        <v>0</v>
      </c>
      <c r="Z131" s="540" t="str">
        <f>IFERROR(ACOAETME2021[[#This Row],[TOTAL Non-Truncated Unadjusted Expenses 
(A19+A21)]]/ACOAETME2021[[#This Row],[Member Months]], "NA")</f>
        <v>NA</v>
      </c>
      <c r="AA131" s="232" t="str">
        <f>IFERROR(ACOAETME2021[[#This Row],[TOTAL Truncated Unadjusted Expenses (A20+A21)]]/ACOAETME2021[[#This Row],[Member Months]], "NA")</f>
        <v>NA</v>
      </c>
      <c r="AB131" s="504">
        <f>IFERROR(ACOAETME2021[[#This Row],[Total Claims Excluded because of Truncation]]/ACOAETME2021[[#This Row],[Count of Members with Claims Truncated]],0)</f>
        <v>0</v>
      </c>
      <c r="AC131" s="508">
        <f>IFERROR(ACOAETME2021[[#This Row],[Total Claims Excluded because of Truncation]]/ACOAETME2021[[#This Row],[TOTAL Non-Truncated Unadjusted Claims Expenses]],0)</f>
        <v>0</v>
      </c>
    </row>
    <row r="132" spans="1:29" x14ac:dyDescent="0.35">
      <c r="A132" s="176"/>
      <c r="B132" s="175"/>
      <c r="C132" s="179"/>
      <c r="D132" s="180"/>
      <c r="E132" s="181"/>
      <c r="F132" s="181"/>
      <c r="G132" s="181"/>
      <c r="H132" s="181"/>
      <c r="I132" s="181"/>
      <c r="J132" s="181"/>
      <c r="K132" s="181"/>
      <c r="L132" s="181"/>
      <c r="M132" s="181"/>
      <c r="N132" s="181"/>
      <c r="O132" s="181"/>
      <c r="P132" s="181"/>
      <c r="Q132" s="181"/>
      <c r="R132" s="181"/>
      <c r="S132" s="181"/>
      <c r="T132" s="181"/>
      <c r="U132"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32" s="182">
        <f>ACOAETME2021[[#This Row],[TOTAL Non-Truncated Unadjusted Claims Expenses]]-ACOAETME2021[[#This Row],[Total Claims Excluded because of Truncation]]</f>
        <v>0</v>
      </c>
      <c r="W132"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32" s="182">
        <f>ACOAETME2021[[#This Row],[TOTAL Non-Truncated Unadjusted Claims Expenses]]+ACOAETME2021[[#This Row],[TOTAL Non-Claims Expenses]]</f>
        <v>0</v>
      </c>
      <c r="Y132" s="182">
        <f>ACOAETME2021[[#This Row],[TOTAL Truncated Unadjusted Claims Expenses (A19 - A17)]]+ACOAETME2021[[#This Row],[TOTAL Non-Claims Expenses]]</f>
        <v>0</v>
      </c>
      <c r="Z132" s="540" t="str">
        <f>IFERROR(ACOAETME2021[[#This Row],[TOTAL Non-Truncated Unadjusted Expenses 
(A19+A21)]]/ACOAETME2021[[#This Row],[Member Months]], "NA")</f>
        <v>NA</v>
      </c>
      <c r="AA132" s="232" t="str">
        <f>IFERROR(ACOAETME2021[[#This Row],[TOTAL Truncated Unadjusted Expenses (A20+A21)]]/ACOAETME2021[[#This Row],[Member Months]], "NA")</f>
        <v>NA</v>
      </c>
      <c r="AB132" s="504">
        <f>IFERROR(ACOAETME2021[[#This Row],[Total Claims Excluded because of Truncation]]/ACOAETME2021[[#This Row],[Count of Members with Claims Truncated]],0)</f>
        <v>0</v>
      </c>
      <c r="AC132" s="508">
        <f>IFERROR(ACOAETME2021[[#This Row],[Total Claims Excluded because of Truncation]]/ACOAETME2021[[#This Row],[TOTAL Non-Truncated Unadjusted Claims Expenses]],0)</f>
        <v>0</v>
      </c>
    </row>
    <row r="133" spans="1:29" x14ac:dyDescent="0.35">
      <c r="A133" s="176"/>
      <c r="B133" s="175"/>
      <c r="C133" s="179"/>
      <c r="D133" s="180"/>
      <c r="E133" s="181"/>
      <c r="F133" s="181"/>
      <c r="G133" s="181"/>
      <c r="H133" s="181"/>
      <c r="I133" s="181"/>
      <c r="J133" s="181"/>
      <c r="K133" s="181"/>
      <c r="L133" s="181"/>
      <c r="M133" s="181"/>
      <c r="N133" s="181"/>
      <c r="O133" s="181"/>
      <c r="P133" s="181"/>
      <c r="Q133" s="181"/>
      <c r="R133" s="181"/>
      <c r="S133" s="181"/>
      <c r="T133" s="181"/>
      <c r="U133"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33" s="182">
        <f>ACOAETME2021[[#This Row],[TOTAL Non-Truncated Unadjusted Claims Expenses]]-ACOAETME2021[[#This Row],[Total Claims Excluded because of Truncation]]</f>
        <v>0</v>
      </c>
      <c r="W133"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33" s="182">
        <f>ACOAETME2021[[#This Row],[TOTAL Non-Truncated Unadjusted Claims Expenses]]+ACOAETME2021[[#This Row],[TOTAL Non-Claims Expenses]]</f>
        <v>0</v>
      </c>
      <c r="Y133" s="182">
        <f>ACOAETME2021[[#This Row],[TOTAL Truncated Unadjusted Claims Expenses (A19 - A17)]]+ACOAETME2021[[#This Row],[TOTAL Non-Claims Expenses]]</f>
        <v>0</v>
      </c>
      <c r="Z133" s="540" t="str">
        <f>IFERROR(ACOAETME2021[[#This Row],[TOTAL Non-Truncated Unadjusted Expenses 
(A19+A21)]]/ACOAETME2021[[#This Row],[Member Months]], "NA")</f>
        <v>NA</v>
      </c>
      <c r="AA133" s="232" t="str">
        <f>IFERROR(ACOAETME2021[[#This Row],[TOTAL Truncated Unadjusted Expenses (A20+A21)]]/ACOAETME2021[[#This Row],[Member Months]], "NA")</f>
        <v>NA</v>
      </c>
      <c r="AB133" s="504">
        <f>IFERROR(ACOAETME2021[[#This Row],[Total Claims Excluded because of Truncation]]/ACOAETME2021[[#This Row],[Count of Members with Claims Truncated]],0)</f>
        <v>0</v>
      </c>
      <c r="AC133" s="508">
        <f>IFERROR(ACOAETME2021[[#This Row],[Total Claims Excluded because of Truncation]]/ACOAETME2021[[#This Row],[TOTAL Non-Truncated Unadjusted Claims Expenses]],0)</f>
        <v>0</v>
      </c>
    </row>
    <row r="134" spans="1:29" x14ac:dyDescent="0.35">
      <c r="A134" s="177"/>
      <c r="B134" s="178"/>
      <c r="C134" s="183"/>
      <c r="D134" s="184"/>
      <c r="E134" s="181"/>
      <c r="F134" s="181"/>
      <c r="G134" s="181"/>
      <c r="H134" s="181"/>
      <c r="I134" s="181"/>
      <c r="J134" s="181"/>
      <c r="K134" s="181"/>
      <c r="L134" s="181"/>
      <c r="M134" s="181"/>
      <c r="N134" s="181"/>
      <c r="O134" s="181"/>
      <c r="P134" s="181"/>
      <c r="Q134" s="181"/>
      <c r="R134" s="181"/>
      <c r="S134" s="181"/>
      <c r="T134" s="181"/>
      <c r="U134" s="182">
        <f>SUM(ACOAETME2021[[#This Row],[Claims: Hospital Inpatient]],ACOAETME2021[[#This Row],[Claims: Hospital Outpatient]],ACOAETME2021[[#This Row],[Claims: Professional, Primary Care]],ACOAETME2021[[#This Row],[Claims: Professional, Specialty Care]],ACOAETME2021[[#This Row],[Claims: Professional Other]],ACOAETME2021[[#This Row],[Claims: Pharmacy]],ACOAETME2021[[#This Row],[Claims: Long-Term Care]],ACOAETME2021[[#This Row],[Claims: Other]])</f>
        <v>0</v>
      </c>
      <c r="V134" s="182">
        <f>ACOAETME2021[[#This Row],[TOTAL Non-Truncated Unadjusted Claims Expenses]]-ACOAETME2021[[#This Row],[Total Claims Excluded because of Truncation]]</f>
        <v>0</v>
      </c>
      <c r="W134" s="182">
        <f>SUM(ACOAETME2021[[#This Row],[Non-Claims: Prospective Capitated, Prospective Global Budget, Prospective Case Rate, or Prospective Episode-Based Payments]],ACOAETME2021[[#This Row],[Non-Claims: Performance Incentive Payments]],ACOAETME2021[[#This Row],[Non-Claims: Payments to Support Population Health and Practice Infrastructure]],ACOAETME2021[[#This Row],[Non-Claims: Provider Salaries]],ACOAETME2021[[#This Row],[Non-Claims: Recoveries]],ACOAETME2021[[#This Row],[Non-Claims: Other]])</f>
        <v>0</v>
      </c>
      <c r="X134" s="182">
        <f>ACOAETME2021[[#This Row],[TOTAL Non-Truncated Unadjusted Claims Expenses]]+ACOAETME2021[[#This Row],[TOTAL Non-Claims Expenses]]</f>
        <v>0</v>
      </c>
      <c r="Y134" s="182">
        <f>ACOAETME2021[[#This Row],[TOTAL Truncated Unadjusted Claims Expenses (A19 - A17)]]+ACOAETME2021[[#This Row],[TOTAL Non-Claims Expenses]]</f>
        <v>0</v>
      </c>
      <c r="Z134" s="540" t="str">
        <f>IFERROR(ACOAETME2021[[#This Row],[TOTAL Non-Truncated Unadjusted Expenses 
(A19+A21)]]/ACOAETME2021[[#This Row],[Member Months]], "NA")</f>
        <v>NA</v>
      </c>
      <c r="AA134" s="232" t="str">
        <f>IFERROR(ACOAETME2021[[#This Row],[TOTAL Truncated Unadjusted Expenses (A20+A21)]]/ACOAETME2021[[#This Row],[Member Months]], "NA")</f>
        <v>NA</v>
      </c>
      <c r="AB134" s="504">
        <f>IFERROR(ACOAETME2021[[#This Row],[Total Claims Excluded because of Truncation]]/ACOAETME2021[[#This Row],[Count of Members with Claims Truncated]],0)</f>
        <v>0</v>
      </c>
      <c r="AC134" s="508">
        <f>IFERROR(ACOAETME2021[[#This Row],[Total Claims Excluded because of Truncation]]/ACOAETME2021[[#This Row],[TOTAL Non-Truncated Unadjusted Claims Expenses]],0)</f>
        <v>0</v>
      </c>
    </row>
  </sheetData>
  <sheetProtection algorithmName="SHA-512" hashValue="MLbtGtphysoacSsR8rFeYu0WfQC//Vezln9Ta8v9qlk98DXHBi7dY9La2wwBvs8DDR9qKbFSe6uz8Qa97x6FDw==" saltValue="i0aPIFIkXGjT1S8odU+LsQ==" spinCount="100000" sheet="1" objects="1" scenarios="1" insertRows="0"/>
  <mergeCells count="3">
    <mergeCell ref="F4:G7"/>
    <mergeCell ref="I4:J7"/>
    <mergeCell ref="L4:M7"/>
  </mergeCells>
  <conditionalFormatting sqref="F4:G7">
    <cfRule type="notContainsText" dxfId="195" priority="5" operator="notContains" text="Good">
      <formula>ISERROR(SEARCH("Good",F4))</formula>
    </cfRule>
    <cfRule type="containsText" dxfId="194" priority="6" operator="containsText" text="Good">
      <formula>NOT(ISERROR(SEARCH("Good",F4)))</formula>
    </cfRule>
  </conditionalFormatting>
  <conditionalFormatting sqref="I4:J7">
    <cfRule type="notContainsText" dxfId="193" priority="3" operator="notContains" text="Good">
      <formula>ISERROR(SEARCH("Good",I4))</formula>
    </cfRule>
    <cfRule type="containsText" dxfId="192" priority="4" operator="containsText" text="Good">
      <formula>NOT(ISERROR(SEARCH("Good",I4)))</formula>
    </cfRule>
  </conditionalFormatting>
  <conditionalFormatting sqref="L4:M7">
    <cfRule type="notContainsText" dxfId="191" priority="1" operator="notContains" text="Good">
      <formula>ISERROR(SEARCH("Good",L4))</formula>
    </cfRule>
    <cfRule type="containsText" dxfId="190" priority="2" operator="containsText" text="Good">
      <formula>NOT(ISERROR(SEARCH("Good",L4)))</formula>
    </cfRule>
  </conditionalFormatting>
  <conditionalFormatting sqref="AB11:AB134">
    <cfRule type="cellIs" dxfId="189" priority="8" operator="greaterThanOrEqual">
      <formula>250000</formula>
    </cfRule>
  </conditionalFormatting>
  <conditionalFormatting sqref="AC11:AC134">
    <cfRule type="cellIs" dxfId="188" priority="7" operator="greaterThan">
      <formula>0.1</formula>
    </cfRule>
  </conditionalFormatting>
  <dataValidations xWindow="59" yWindow="299" count="20">
    <dataValidation type="decimal" operator="lessThanOrEqual" allowBlank="1" showInputMessage="1" showErrorMessage="1" error="See &quot;Definitions&quot; tab._x000a_Report as a negative number." promptTitle="Non-Claims: Recoveries" prompt="See &quot;Definitions&quot; tab._x000a_Report as a negative number." sqref="Q11:Q134" xr:uid="{C0F7F508-3547-4F3D-AB84-B2D9CC6C5155}">
      <formula1>0</formula1>
    </dataValidation>
    <dataValidation type="decimal" operator="greaterThanOrEqual" allowBlank="1" showInputMessage="1" showErrorMessage="1" error="See &quot;Definitions&quot; tab._x000a_No negative values." prompt="See &quot;Definitions&quot; tab._x000a_No negative values._x000a_" sqref="S11:T134" xr:uid="{31D485DA-CA3D-40B6-A642-8032AF1CB284}">
      <formula1>0</formula1>
    </dataValidation>
    <dataValidation type="whole" allowBlank="1" showInputMessage="1" showErrorMessage="1" error="Please input the insurance category being reported (see &quot;Reference Tables&quot; tab)." promptTitle="Insurance Category Code" prompt="1: Medicare &amp; Medicare Managed Care_x000a_2: Medicaid &amp; Medicaid Managed Care_x000a_3: Commerical: Full-Claims_x000a_4: Commercial: Partial-Adjusted_x000a_5: Medicare Exp. for Duals_x000a_6: Medicaid Exp. &amp; Medicaid Duals_x000a_7: Medicare/Medicaid Int. Duals_x000a_8: Other" sqref="B11:B134" xr:uid="{31F9002F-9244-4E16-8062-48BBAA7C6BE0}">
      <formula1>1</formula1>
      <formula2>8</formula2>
    </dataValidation>
    <dataValidation type="whole" allowBlank="1" showInputMessage="1" showErrorMessage="1" error="Please input the OHIC-assigned organization ID of the ACO/AE." promptTitle="ACO/AE or Insurer Overall ID" prompt="Insurer Overall: 100_x000a_Blackstone Valley CHC: 101_x000a_Coastal Medical: 102_x000a_Integra Community Care Network: 103_x000a_Integrated Healthcare Partners: 104_x000a_Lifespan: 105_x000a_Providence CHC: 106_x000a_Prospect CharterCARE: 107_x000a_Thundermist: 108_x000a_Unattributed Members: 999" sqref="A11:A134" xr:uid="{ECD82D44-97AC-4784-A0AC-81C6833AE23E}">
      <formula1>100</formula1>
      <formula2>999</formula2>
    </dataValidation>
    <dataValidation allowBlank="1" showInputMessage="1" showErrorMessage="1" error="The number of unique members participating in a plan each month with a medical benefit, regardless of whether the member has any paid claims." promptTitle="Member Months" prompt="The number of unique members participating in a plan each month with a medical benefit, regardless of whether the member has any paid claims." sqref="C11:C134" xr:uid="{D0757AAE-71A6-449C-822A-5FFC90238D96}"/>
    <dataValidation type="decimal" allowBlank="1" showInputMessage="1" showErrorMessage="1" error="See &quot;Definitions&quot; tab._x000a_No negative values. Number must be between ‘0.0’ and ‘10’." promptTitle="Clinical Risk Score" prompt="See &quot;Definitions&quot; tab._x000a_No negative values. Number must be between ‘0.0’ and ‘10’." sqref="D11:D134" xr:uid="{E977DB88-9AD7-4542-8201-8B220B4733A5}">
      <formula1>0</formula1>
      <formula2>10</formula2>
    </dataValidation>
    <dataValidation type="decimal" operator="greaterThanOrEqual" allowBlank="1" showInputMessage="1" showErrorMessage="1" error="See &quot;Definitions&quot; tab._x000a_No negative values." promptTitle="Claims: Hospital Inpatient" prompt="See &quot;Definitions&quot; tab._x000a_No negative values._x000a_" sqref="E11:E134" xr:uid="{40BFEA91-74B2-4564-9007-ABEF67C3D93B}">
      <formula1>0</formula1>
    </dataValidation>
    <dataValidation type="decimal" operator="greaterThanOrEqual" allowBlank="1" showInputMessage="1" showErrorMessage="1" error="See &quot;Definitions&quot; tab._x000a_No negative values." promptTitle="Claims: Hospital Outpatient" prompt="See &quot;Definitions&quot; tab._x000a_No negative values._x000a_" sqref="F11:F134" xr:uid="{E45DB4A2-D8EE-4982-9EC5-A02D3CB34138}">
      <formula1>0</formula1>
    </dataValidation>
    <dataValidation type="decimal" operator="greaterThanOrEqual" allowBlank="1" showInputMessage="1" showErrorMessage="1" error="See &quot;Definitions&quot; tab._x000a_No negative values." promptTitle="Claims: Professional, Primary Ca" prompt="See &quot;Definitions&quot; tab._x000a_No negative values._x000a_" sqref="G11:G134" xr:uid="{6A562DE4-0506-4D92-B51A-3608335137DC}">
      <formula1>0</formula1>
    </dataValidation>
    <dataValidation type="decimal" operator="greaterThanOrEqual" allowBlank="1" showInputMessage="1" showErrorMessage="1" error="See &quot;Definitions&quot; tab._x000a_No negative values." promptTitle="Claims: Professional, Specialty" prompt="See &quot;Definitions&quot; tab._x000a_No negative values._x000a_" sqref="H11:H134" xr:uid="{AD85333A-1686-4E16-8CC8-99F540E766C9}">
      <formula1>0</formula1>
    </dataValidation>
    <dataValidation type="decimal" operator="greaterThanOrEqual" allowBlank="1" showInputMessage="1" showErrorMessage="1" error="See &quot;Definitions&quot; tab._x000a_No negative values." promptTitle="Claims: Professional, Other" prompt="See &quot;Definitions&quot; tab._x000a_No negative values._x000a_" sqref="I11:I134" xr:uid="{AC8BB5E4-F01D-4DCC-8AE7-4E53E531FDF3}">
      <formula1>0</formula1>
    </dataValidation>
    <dataValidation type="decimal" operator="greaterThanOrEqual" allowBlank="1" showInputMessage="1" showErrorMessage="1" error="See &quot;Definitions&quot; tab._x000a_No negative values." promptTitle="Claims: Retail Pharmacy" prompt="See &quot;Definitions&quot; tab._x000a_No negative values._x000a_" sqref="J11:J134" xr:uid="{5F664494-2C97-4DBD-96C4-0EE3D6665C05}">
      <formula1>0</formula1>
    </dataValidation>
    <dataValidation type="decimal" operator="greaterThanOrEqual" allowBlank="1" showInputMessage="1" showErrorMessage="1" error="See &quot;Definitions&quot; tab._x000a_No negative values." promptTitle="Claims: Long-Term Care" prompt="See &quot;Definitions&quot; tab._x000a_No negative values._x000a_" sqref="K11:K134" xr:uid="{990A9B3E-39CC-4571-AC1D-F88B8AE01C77}">
      <formula1>0</formula1>
    </dataValidation>
    <dataValidation type="decimal" operator="greaterThanOrEqual" allowBlank="1" showInputMessage="1" showErrorMessage="1" error="See &quot;Definitions&quot; tab._x000a_No negative values." promptTitle="Claims: Other" prompt="See &quot;Definitions&quot; tab._x000a_No negative values._x000a_" sqref="L11:L134" xr:uid="{96AD350B-1784-430D-BD65-E73C4A4EE020}">
      <formula1>0</formula1>
    </dataValidation>
    <dataValidation type="decimal" operator="greaterThanOrEqual" allowBlank="1" showInputMessage="1" showErrorMessage="1" error="See &quot;Definitions&quot; tab._x000a_No negative values." promptTitle="Non-Claims: Prosp Capitated, etc" prompt="See &quot;Definitions&quot; tab._x000a_No negative values._x000a_" sqref="M11:M134" xr:uid="{057CAFC7-64E3-4643-B3CB-D8EB3E151C01}">
      <formula1>0</formula1>
    </dataValidation>
    <dataValidation type="decimal" operator="greaterThanOrEqual" allowBlank="1" showInputMessage="1" showErrorMessage="1" error="See &quot;Definitions&quot; tab._x000a_No negative values." promptTitle="Non-Claims: Perf Incent Payments" prompt="See &quot;Definitions&quot; tab._x000a_No negative values._x000a_" sqref="N32:N134 N12:N30" xr:uid="{3DB62ABF-7586-4F50-828F-7A1459C245C0}">
      <formula1>0</formula1>
    </dataValidation>
    <dataValidation type="decimal" operator="greaterThanOrEqual" allowBlank="1" showInputMessage="1" showErrorMessage="1" error="See &quot;Definitions&quot; tab._x000a_No negative values." promptTitle="Non-Claims: $ to Supp Popln Hlth" prompt="See &quot;Definitions&quot; tab._x000a_No negative values._x000a_" sqref="O11:O134" xr:uid="{749BD03E-6E44-4148-B004-837AF98B0571}">
      <formula1>0</formula1>
    </dataValidation>
    <dataValidation type="decimal" operator="greaterThanOrEqual" allowBlank="1" showInputMessage="1" showErrorMessage="1" error="See &quot;Definitions&quot; tab._x000a_No negative values." promptTitle="Non-Claims: Perf Incent $" prompt="See &quot;Definitions&quot; tab._x000a_No negative values._x000a_" sqref="N31 N11" xr:uid="{4772D925-DDE9-452E-88FF-0FD501E673DF}">
      <formula1>0</formula1>
    </dataValidation>
    <dataValidation type="decimal" operator="greaterThanOrEqual" allowBlank="1" showInputMessage="1" showErrorMessage="1" error="See &quot;Definitions&quot; tab._x000a_No negative values." promptTitle="Non-Claims: Provider Salaries" prompt="See &quot;Definitions&quot; tab._x000a_No negative values._x000a_" sqref="P11:P134" xr:uid="{D303BE02-9766-4B83-8512-A77DBBBB98C2}">
      <formula1>0</formula1>
    </dataValidation>
    <dataValidation type="decimal" operator="greaterThanOrEqual" allowBlank="1" showInputMessage="1" showErrorMessage="1" error="See &quot;Definitions&quot; tab._x000a_No negative values." promptTitle="Non-Claims: Other" prompt="See &quot;Definitions&quot; tab._x000a_No negative values._x000a_" sqref="R11:R134" xr:uid="{A1A28405-6014-41ED-9C31-A26BC08BCB03}">
      <formula1>0</formula1>
    </dataValidation>
  </dataValidations>
  <hyperlinks>
    <hyperlink ref="F3" location="Checks" display="Check for Member Months" xr:uid="{A3883A57-688D-471C-A60A-5031DFB00C32}"/>
    <hyperlink ref="I3" location="Checks" display="Check for Truncated and Non-Truncated Spending" xr:uid="{F8D68AD5-B057-4DF3-8B21-75F6CCCA767B}"/>
    <hyperlink ref="L3" location="'ACO_AE - 2021'!AB10:AC134" display="Check for Average Truncated Claims Per Member" xr:uid="{EAB0F41A-A105-40B6-BC85-41C5EE8127A1}"/>
  </hyperlinks>
  <pageMargins left="0.7" right="0.7" top="0.75" bottom="0.75" header="0.3" footer="0.3"/>
  <pageSetup orientation="portrait"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C11FC-F186-4C44-9192-2AC5638566CF}">
  <sheetPr codeName="Sheet12">
    <tabColor theme="3"/>
  </sheetPr>
  <dimension ref="A1:AC134"/>
  <sheetViews>
    <sheetView workbookViewId="0"/>
  </sheetViews>
  <sheetFormatPr defaultColWidth="9.1796875" defaultRowHeight="14.5" x14ac:dyDescent="0.35"/>
  <cols>
    <col min="1" max="1" width="25.7265625" customWidth="1"/>
    <col min="2" max="12" width="16.7265625" customWidth="1"/>
    <col min="13" max="13" width="34.1796875" customWidth="1"/>
    <col min="14" max="15" width="25.7265625" customWidth="1"/>
    <col min="16" max="26" width="16.7265625" customWidth="1"/>
    <col min="27" max="27" width="12.26953125" bestFit="1" customWidth="1"/>
    <col min="28" max="28" width="15.81640625" customWidth="1"/>
    <col min="29" max="29" width="21.54296875" customWidth="1"/>
  </cols>
  <sheetData>
    <row r="1" spans="1:29" x14ac:dyDescent="0.35">
      <c r="A1" s="1" t="s">
        <v>181</v>
      </c>
    </row>
    <row r="2" spans="1:29" x14ac:dyDescent="0.35">
      <c r="A2" s="1" t="s">
        <v>671</v>
      </c>
    </row>
    <row r="3" spans="1:29" x14ac:dyDescent="0.35">
      <c r="F3" s="509" t="s">
        <v>756</v>
      </c>
      <c r="I3" s="509" t="s">
        <v>755</v>
      </c>
      <c r="L3" s="509" t="s">
        <v>757</v>
      </c>
    </row>
    <row r="4" spans="1:29" x14ac:dyDescent="0.35">
      <c r="A4" t="s">
        <v>57</v>
      </c>
      <c r="F4" s="577" t="str">
        <f>IF(AND(A11&lt;&gt;"", 'Data Validation'!D5&gt;0),"STOP - MISALIGNMENT IN MEMBER MONTHS WITH OTHER TABS FOR 2022 - CHECK DATA VALIDATION TAB.", "Good")</f>
        <v>Good</v>
      </c>
      <c r="G4" s="577"/>
      <c r="I4" s="578" t="str">
        <f>IF(AND(A11&lt;&gt;"", OR('Data Validation'!I11&gt;0,'Data Validation'!J11&gt;0,'Data Validation'!K11&gt;0,'Data Validation'!L11&gt;0,'Data Validation'!M11&gt;0,'Data Validation'!N11&gt;0)), "STOP - MISALIGNMENT OF TRUNCATED OR NON-TRUNCATED SPENDING WITH AGE/SEX TAB FOR 2022. CHECK DATA VALIDATION TAB)", "Good")</f>
        <v>Good</v>
      </c>
      <c r="J4" s="578"/>
      <c r="L4" s="577" t="str">
        <f>IF(COUNTIF(ACOAETME2022[[#All],[Average Claims Truncated Per Member]], "&gt;250000")+COUNTIF(ACOAETME2022[[#All],[Total Claims Excluded because of Truncation (A17) / Total Non-Truncated Claims Expenses (A19)]], "&gt;10%")&gt;0, "STOP - see highlighted cells in A26 or A27", "Good")</f>
        <v>Good</v>
      </c>
      <c r="M4" s="577"/>
    </row>
    <row r="5" spans="1:29" x14ac:dyDescent="0.35">
      <c r="A5" s="139" t="s">
        <v>182</v>
      </c>
      <c r="F5" s="577"/>
      <c r="G5" s="577"/>
      <c r="I5" s="578"/>
      <c r="J5" s="578"/>
      <c r="L5" s="577"/>
      <c r="M5" s="577"/>
    </row>
    <row r="6" spans="1:29" x14ac:dyDescent="0.35">
      <c r="F6" s="577"/>
      <c r="G6" s="577"/>
      <c r="I6" s="578"/>
      <c r="J6" s="578"/>
      <c r="L6" s="577"/>
      <c r="M6" s="577"/>
    </row>
    <row r="7" spans="1:29" x14ac:dyDescent="0.35">
      <c r="F7" s="577"/>
      <c r="G7" s="577"/>
      <c r="I7" s="578"/>
      <c r="J7" s="578"/>
      <c r="L7" s="577"/>
      <c r="M7" s="577"/>
      <c r="AB7" s="231" t="s">
        <v>509</v>
      </c>
      <c r="AC7" s="231"/>
    </row>
    <row r="9" spans="1:29" x14ac:dyDescent="0.35">
      <c r="C9" s="616" t="s">
        <v>64</v>
      </c>
      <c r="D9" s="616" t="s">
        <v>65</v>
      </c>
      <c r="E9" s="616" t="s">
        <v>66</v>
      </c>
      <c r="F9" s="616" t="s">
        <v>67</v>
      </c>
      <c r="G9" s="616" t="s">
        <v>68</v>
      </c>
      <c r="H9" s="616" t="s">
        <v>69</v>
      </c>
      <c r="I9" s="616" t="s">
        <v>70</v>
      </c>
      <c r="J9" s="616" t="s">
        <v>71</v>
      </c>
      <c r="K9" s="616" t="s">
        <v>72</v>
      </c>
      <c r="L9" s="616" t="s">
        <v>73</v>
      </c>
      <c r="M9" s="616" t="s">
        <v>74</v>
      </c>
      <c r="N9" s="616" t="s">
        <v>75</v>
      </c>
      <c r="O9" s="616" t="s">
        <v>76</v>
      </c>
      <c r="P9" s="616" t="s">
        <v>77</v>
      </c>
      <c r="Q9" s="616" t="s">
        <v>78</v>
      </c>
      <c r="R9" s="616" t="s">
        <v>79</v>
      </c>
      <c r="S9" s="616" t="s">
        <v>80</v>
      </c>
      <c r="T9" s="616" t="s">
        <v>81</v>
      </c>
      <c r="U9" s="616" t="s">
        <v>82</v>
      </c>
      <c r="V9" s="140" t="s">
        <v>125</v>
      </c>
      <c r="W9" s="140" t="s">
        <v>83</v>
      </c>
      <c r="X9" s="3" t="s">
        <v>113</v>
      </c>
      <c r="Y9" s="3" t="s">
        <v>114</v>
      </c>
      <c r="Z9" s="3" t="s">
        <v>511</v>
      </c>
      <c r="AA9" s="3" t="s">
        <v>512</v>
      </c>
      <c r="AB9" s="3" t="s">
        <v>758</v>
      </c>
      <c r="AC9" s="3" t="s">
        <v>759</v>
      </c>
    </row>
    <row r="10" spans="1:29" ht="72.5" x14ac:dyDescent="0.35">
      <c r="A10" s="137" t="s">
        <v>521</v>
      </c>
      <c r="B10" s="137" t="s">
        <v>3</v>
      </c>
      <c r="C10" s="137" t="s">
        <v>87</v>
      </c>
      <c r="D10" s="137" t="s">
        <v>92</v>
      </c>
      <c r="E10" s="137" t="s">
        <v>12</v>
      </c>
      <c r="F10" s="137" t="s">
        <v>13</v>
      </c>
      <c r="G10" s="137" t="s">
        <v>14</v>
      </c>
      <c r="H10" s="137" t="s">
        <v>184</v>
      </c>
      <c r="I10" s="137" t="s">
        <v>16</v>
      </c>
      <c r="J10" s="137" t="s">
        <v>17</v>
      </c>
      <c r="K10" s="137" t="s">
        <v>94</v>
      </c>
      <c r="L10" s="137" t="s">
        <v>19</v>
      </c>
      <c r="M10" s="137" t="s">
        <v>109</v>
      </c>
      <c r="N10" s="137" t="s">
        <v>110</v>
      </c>
      <c r="O10" s="137" t="s">
        <v>111</v>
      </c>
      <c r="P10" s="137" t="s">
        <v>112</v>
      </c>
      <c r="Q10" s="137" t="s">
        <v>186</v>
      </c>
      <c r="R10" s="137" t="s">
        <v>85</v>
      </c>
      <c r="S10" s="137" t="s">
        <v>572</v>
      </c>
      <c r="T10" s="137" t="s">
        <v>510</v>
      </c>
      <c r="U10" s="617" t="s">
        <v>543</v>
      </c>
      <c r="V10" s="506" t="s">
        <v>513</v>
      </c>
      <c r="W10" s="506" t="s">
        <v>86</v>
      </c>
      <c r="X10" s="506" t="s">
        <v>514</v>
      </c>
      <c r="Y10" s="506" t="s">
        <v>515</v>
      </c>
      <c r="Z10" s="506" t="s">
        <v>516</v>
      </c>
      <c r="AA10" s="506" t="s">
        <v>517</v>
      </c>
      <c r="AB10" s="510" t="s">
        <v>760</v>
      </c>
      <c r="AC10" s="511" t="s">
        <v>761</v>
      </c>
    </row>
    <row r="11" spans="1:29" x14ac:dyDescent="0.35">
      <c r="A11" s="8"/>
      <c r="B11" s="175"/>
      <c r="C11" s="179"/>
      <c r="D11" s="180"/>
      <c r="E11" s="181"/>
      <c r="F11" s="181"/>
      <c r="G11" s="181"/>
      <c r="H11" s="181"/>
      <c r="I11" s="181"/>
      <c r="J11" s="181"/>
      <c r="K11" s="181"/>
      <c r="L11" s="181"/>
      <c r="M11" s="181"/>
      <c r="N11" s="181"/>
      <c r="O11" s="181"/>
      <c r="P11" s="181"/>
      <c r="Q11" s="181"/>
      <c r="R11" s="181"/>
      <c r="S11" s="181"/>
      <c r="T11" s="443"/>
      <c r="U11"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1" s="182">
        <f>ACOAETME2022[[#This Row],[TOTAL Non-Truncated Unadjusted Claims Expenses]]-ACOAETME2022[[#This Row],[Total Claims Excluded because of Truncation]]</f>
        <v>0</v>
      </c>
      <c r="W11"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1" s="182">
        <f>ACOAETME2022[[#This Row],[TOTAL Non-Truncated Unadjusted Claims Expenses]]+ACOAETME2022[[#This Row],[TOTAL Non-Claims Expenses]]</f>
        <v>0</v>
      </c>
      <c r="Y11" s="182">
        <f>ACOAETME2022[[#This Row],[TOTAL Truncated Unadjusted Claims Expenses (A19 - A17)]]+ACOAETME2022[[#This Row],[TOTAL Non-Claims Expenses]]</f>
        <v>0</v>
      </c>
      <c r="Z11" s="540" t="str">
        <f>IFERROR(ACOAETME2022[[#This Row],[TOTAL Non-Truncated Unadjusted Expenses 
(A19+A21)]]/ACOAETME2022[[#This Row],[Member Months]], "NA")</f>
        <v>NA</v>
      </c>
      <c r="AA11" s="232" t="str">
        <f>IFERROR(ACOAETME2022[[#This Row],[TOTAL Truncated Unadjusted Expenses (A20+A21)]]/ACOAETME2022[[#This Row],[Member Months]], "NA")</f>
        <v>NA</v>
      </c>
      <c r="AB11" s="504">
        <f>IFERROR(ACOAETME2022[[#This Row],[Total Claims Excluded because of Truncation]]/ACOAETME2022[[#This Row],[Count of Members with Claims Truncated]], 0)</f>
        <v>0</v>
      </c>
      <c r="AC11" s="508">
        <f>IFERROR(ACOAETME2022[[#This Row],[Total Claims Excluded because of Truncation]]/ACOAETME2022[[#This Row],[TOTAL Non-Truncated Unadjusted Claims Expenses]], 0)</f>
        <v>0</v>
      </c>
    </row>
    <row r="12" spans="1:29" x14ac:dyDescent="0.35">
      <c r="A12" s="8"/>
      <c r="B12" s="175"/>
      <c r="C12" s="179"/>
      <c r="D12" s="180"/>
      <c r="E12" s="181"/>
      <c r="F12" s="181"/>
      <c r="G12" s="181"/>
      <c r="H12" s="181"/>
      <c r="I12" s="181"/>
      <c r="J12" s="181"/>
      <c r="K12" s="181"/>
      <c r="L12" s="181"/>
      <c r="M12" s="181"/>
      <c r="N12" s="181"/>
      <c r="O12" s="181"/>
      <c r="P12" s="181"/>
      <c r="Q12" s="181"/>
      <c r="R12" s="181"/>
      <c r="S12" s="181"/>
      <c r="T12" s="443"/>
      <c r="U12"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2" s="182">
        <f>ACOAETME2022[[#This Row],[TOTAL Non-Truncated Unadjusted Claims Expenses]]-ACOAETME2022[[#This Row],[Total Claims Excluded because of Truncation]]</f>
        <v>0</v>
      </c>
      <c r="W12"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2" s="182">
        <f>ACOAETME2022[[#This Row],[TOTAL Non-Truncated Unadjusted Claims Expenses]]+ACOAETME2022[[#This Row],[TOTAL Non-Claims Expenses]]</f>
        <v>0</v>
      </c>
      <c r="Y12" s="182">
        <f>ACOAETME2022[[#This Row],[TOTAL Truncated Unadjusted Claims Expenses (A19 - A17)]]+ACOAETME2022[[#This Row],[TOTAL Non-Claims Expenses]]</f>
        <v>0</v>
      </c>
      <c r="Z12" s="540" t="str">
        <f>IFERROR(ACOAETME2022[[#This Row],[TOTAL Non-Truncated Unadjusted Expenses 
(A19+A21)]]/ACOAETME2022[[#This Row],[Member Months]], "NA")</f>
        <v>NA</v>
      </c>
      <c r="AA12" s="232" t="str">
        <f>IFERROR(ACOAETME2022[[#This Row],[TOTAL Truncated Unadjusted Expenses (A20+A21)]]/ACOAETME2022[[#This Row],[Member Months]], "NA")</f>
        <v>NA</v>
      </c>
      <c r="AB12" s="504">
        <f>IFERROR(ACOAETME2022[[#This Row],[Total Claims Excluded because of Truncation]]/ACOAETME2022[[#This Row],[Count of Members with Claims Truncated]], 0)</f>
        <v>0</v>
      </c>
      <c r="AC12" s="508">
        <f>IFERROR(ACOAETME2022[[#This Row],[Total Claims Excluded because of Truncation]]/ACOAETME2022[[#This Row],[TOTAL Non-Truncated Unadjusted Claims Expenses]], 0)</f>
        <v>0</v>
      </c>
    </row>
    <row r="13" spans="1:29" x14ac:dyDescent="0.35">
      <c r="A13" s="8"/>
      <c r="B13" s="175"/>
      <c r="C13" s="179"/>
      <c r="D13" s="180"/>
      <c r="E13" s="181"/>
      <c r="F13" s="181"/>
      <c r="G13" s="181"/>
      <c r="H13" s="181"/>
      <c r="I13" s="181"/>
      <c r="J13" s="181"/>
      <c r="K13" s="181"/>
      <c r="L13" s="181"/>
      <c r="M13" s="181"/>
      <c r="N13" s="181"/>
      <c r="O13" s="181"/>
      <c r="P13" s="181"/>
      <c r="Q13" s="181"/>
      <c r="R13" s="181"/>
      <c r="S13" s="181"/>
      <c r="T13" s="443"/>
      <c r="U13"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3" s="182">
        <f>ACOAETME2022[[#This Row],[TOTAL Non-Truncated Unadjusted Claims Expenses]]-ACOAETME2022[[#This Row],[Total Claims Excluded because of Truncation]]</f>
        <v>0</v>
      </c>
      <c r="W13"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3" s="182">
        <f>ACOAETME2022[[#This Row],[TOTAL Non-Truncated Unadjusted Claims Expenses]]+ACOAETME2022[[#This Row],[TOTAL Non-Claims Expenses]]</f>
        <v>0</v>
      </c>
      <c r="Y13" s="182">
        <f>ACOAETME2022[[#This Row],[TOTAL Truncated Unadjusted Claims Expenses (A19 - A17)]]+ACOAETME2022[[#This Row],[TOTAL Non-Claims Expenses]]</f>
        <v>0</v>
      </c>
      <c r="Z13" s="540" t="str">
        <f>IFERROR(ACOAETME2022[[#This Row],[TOTAL Non-Truncated Unadjusted Expenses 
(A19+A21)]]/ACOAETME2022[[#This Row],[Member Months]], "NA")</f>
        <v>NA</v>
      </c>
      <c r="AA13" s="232" t="str">
        <f>IFERROR(ACOAETME2022[[#This Row],[TOTAL Truncated Unadjusted Expenses (A20+A21)]]/ACOAETME2022[[#This Row],[Member Months]], "NA")</f>
        <v>NA</v>
      </c>
      <c r="AB13" s="504">
        <f>IFERROR(ACOAETME2022[[#This Row],[Total Claims Excluded because of Truncation]]/ACOAETME2022[[#This Row],[Count of Members with Claims Truncated]], 0)</f>
        <v>0</v>
      </c>
      <c r="AC13" s="508">
        <f>IFERROR(ACOAETME2022[[#This Row],[Total Claims Excluded because of Truncation]]/ACOAETME2022[[#This Row],[TOTAL Non-Truncated Unadjusted Claims Expenses]], 0)</f>
        <v>0</v>
      </c>
    </row>
    <row r="14" spans="1:29" x14ac:dyDescent="0.35">
      <c r="A14" s="8"/>
      <c r="B14" s="175"/>
      <c r="C14" s="179"/>
      <c r="D14" s="180"/>
      <c r="E14" s="181"/>
      <c r="F14" s="181"/>
      <c r="G14" s="181"/>
      <c r="H14" s="181"/>
      <c r="I14" s="181"/>
      <c r="J14" s="181"/>
      <c r="K14" s="181"/>
      <c r="L14" s="181"/>
      <c r="M14" s="181"/>
      <c r="N14" s="181"/>
      <c r="O14" s="181"/>
      <c r="P14" s="181"/>
      <c r="Q14" s="181"/>
      <c r="R14" s="181"/>
      <c r="S14" s="181"/>
      <c r="T14" s="443"/>
      <c r="U14"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4" s="182">
        <f>ACOAETME2022[[#This Row],[TOTAL Non-Truncated Unadjusted Claims Expenses]]-ACOAETME2022[[#This Row],[Total Claims Excluded because of Truncation]]</f>
        <v>0</v>
      </c>
      <c r="W14"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4" s="182">
        <f>ACOAETME2022[[#This Row],[TOTAL Non-Truncated Unadjusted Claims Expenses]]+ACOAETME2022[[#This Row],[TOTAL Non-Claims Expenses]]</f>
        <v>0</v>
      </c>
      <c r="Y14" s="182">
        <f>ACOAETME2022[[#This Row],[TOTAL Truncated Unadjusted Claims Expenses (A19 - A17)]]+ACOAETME2022[[#This Row],[TOTAL Non-Claims Expenses]]</f>
        <v>0</v>
      </c>
      <c r="Z14" s="540" t="str">
        <f>IFERROR(ACOAETME2022[[#This Row],[TOTAL Non-Truncated Unadjusted Expenses 
(A19+A21)]]/ACOAETME2022[[#This Row],[Member Months]], "NA")</f>
        <v>NA</v>
      </c>
      <c r="AA14" s="232" t="str">
        <f>IFERROR(ACOAETME2022[[#This Row],[TOTAL Truncated Unadjusted Expenses (A20+A21)]]/ACOAETME2022[[#This Row],[Member Months]], "NA")</f>
        <v>NA</v>
      </c>
      <c r="AB14" s="504">
        <f>IFERROR(ACOAETME2022[[#This Row],[Total Claims Excluded because of Truncation]]/ACOAETME2022[[#This Row],[Count of Members with Claims Truncated]], 0)</f>
        <v>0</v>
      </c>
      <c r="AC14" s="508">
        <f>IFERROR(ACOAETME2022[[#This Row],[Total Claims Excluded because of Truncation]]/ACOAETME2022[[#This Row],[TOTAL Non-Truncated Unadjusted Claims Expenses]], 0)</f>
        <v>0</v>
      </c>
    </row>
    <row r="15" spans="1:29" x14ac:dyDescent="0.35">
      <c r="A15" s="8"/>
      <c r="B15" s="175"/>
      <c r="C15" s="179"/>
      <c r="D15" s="180"/>
      <c r="E15" s="181"/>
      <c r="F15" s="181"/>
      <c r="G15" s="181"/>
      <c r="H15" s="181"/>
      <c r="I15" s="181"/>
      <c r="J15" s="181"/>
      <c r="K15" s="181"/>
      <c r="L15" s="181"/>
      <c r="M15" s="181"/>
      <c r="N15" s="181"/>
      <c r="O15" s="181"/>
      <c r="P15" s="181"/>
      <c r="Q15" s="181"/>
      <c r="R15" s="181"/>
      <c r="S15" s="181"/>
      <c r="T15" s="443"/>
      <c r="U15"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5" s="182">
        <f>ACOAETME2022[[#This Row],[TOTAL Non-Truncated Unadjusted Claims Expenses]]-ACOAETME2022[[#This Row],[Total Claims Excluded because of Truncation]]</f>
        <v>0</v>
      </c>
      <c r="W15"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5" s="182">
        <f>ACOAETME2022[[#This Row],[TOTAL Non-Truncated Unadjusted Claims Expenses]]+ACOAETME2022[[#This Row],[TOTAL Non-Claims Expenses]]</f>
        <v>0</v>
      </c>
      <c r="Y15" s="182">
        <f>ACOAETME2022[[#This Row],[TOTAL Truncated Unadjusted Claims Expenses (A19 - A17)]]+ACOAETME2022[[#This Row],[TOTAL Non-Claims Expenses]]</f>
        <v>0</v>
      </c>
      <c r="Z15" s="540" t="str">
        <f>IFERROR(ACOAETME2022[[#This Row],[TOTAL Non-Truncated Unadjusted Expenses 
(A19+A21)]]/ACOAETME2022[[#This Row],[Member Months]], "NA")</f>
        <v>NA</v>
      </c>
      <c r="AA15" s="232" t="str">
        <f>IFERROR(ACOAETME2022[[#This Row],[TOTAL Truncated Unadjusted Expenses (A20+A21)]]/ACOAETME2022[[#This Row],[Member Months]], "NA")</f>
        <v>NA</v>
      </c>
      <c r="AB15" s="504">
        <f>IFERROR(ACOAETME2022[[#This Row],[Total Claims Excluded because of Truncation]]/ACOAETME2022[[#This Row],[Count of Members with Claims Truncated]], 0)</f>
        <v>0</v>
      </c>
      <c r="AC15" s="508">
        <f>IFERROR(ACOAETME2022[[#This Row],[Total Claims Excluded because of Truncation]]/ACOAETME2022[[#This Row],[TOTAL Non-Truncated Unadjusted Claims Expenses]], 0)</f>
        <v>0</v>
      </c>
    </row>
    <row r="16" spans="1:29" x14ac:dyDescent="0.35">
      <c r="A16" s="8"/>
      <c r="B16" s="175"/>
      <c r="C16" s="179"/>
      <c r="D16" s="180"/>
      <c r="E16" s="181"/>
      <c r="F16" s="181"/>
      <c r="G16" s="181"/>
      <c r="H16" s="181"/>
      <c r="I16" s="181"/>
      <c r="J16" s="181"/>
      <c r="K16" s="181"/>
      <c r="L16" s="181"/>
      <c r="M16" s="181"/>
      <c r="N16" s="181"/>
      <c r="O16" s="181"/>
      <c r="P16" s="181"/>
      <c r="Q16" s="181"/>
      <c r="R16" s="181"/>
      <c r="S16" s="181"/>
      <c r="T16" s="443"/>
      <c r="U16"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6" s="182">
        <f>ACOAETME2022[[#This Row],[TOTAL Non-Truncated Unadjusted Claims Expenses]]-ACOAETME2022[[#This Row],[Total Claims Excluded because of Truncation]]</f>
        <v>0</v>
      </c>
      <c r="W16"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6" s="182">
        <f>ACOAETME2022[[#This Row],[TOTAL Non-Truncated Unadjusted Claims Expenses]]+ACOAETME2022[[#This Row],[TOTAL Non-Claims Expenses]]</f>
        <v>0</v>
      </c>
      <c r="Y16" s="182">
        <f>ACOAETME2022[[#This Row],[TOTAL Truncated Unadjusted Claims Expenses (A19 - A17)]]+ACOAETME2022[[#This Row],[TOTAL Non-Claims Expenses]]</f>
        <v>0</v>
      </c>
      <c r="Z16" s="540" t="str">
        <f>IFERROR(ACOAETME2022[[#This Row],[TOTAL Non-Truncated Unadjusted Expenses 
(A19+A21)]]/ACOAETME2022[[#This Row],[Member Months]], "NA")</f>
        <v>NA</v>
      </c>
      <c r="AA16" s="232" t="str">
        <f>IFERROR(ACOAETME2022[[#This Row],[TOTAL Truncated Unadjusted Expenses (A20+A21)]]/ACOAETME2022[[#This Row],[Member Months]], "NA")</f>
        <v>NA</v>
      </c>
      <c r="AB16" s="504">
        <f>IFERROR(ACOAETME2022[[#This Row],[Total Claims Excluded because of Truncation]]/ACOAETME2022[[#This Row],[Count of Members with Claims Truncated]], 0)</f>
        <v>0</v>
      </c>
      <c r="AC16" s="508">
        <f>IFERROR(ACOAETME2022[[#This Row],[Total Claims Excluded because of Truncation]]/ACOAETME2022[[#This Row],[TOTAL Non-Truncated Unadjusted Claims Expenses]], 0)</f>
        <v>0</v>
      </c>
    </row>
    <row r="17" spans="1:29" x14ac:dyDescent="0.35">
      <c r="A17" s="8"/>
      <c r="B17" s="175"/>
      <c r="C17" s="179"/>
      <c r="D17" s="180"/>
      <c r="E17" s="181"/>
      <c r="F17" s="181"/>
      <c r="G17" s="181"/>
      <c r="H17" s="181"/>
      <c r="I17" s="181"/>
      <c r="J17" s="181"/>
      <c r="K17" s="181"/>
      <c r="L17" s="181"/>
      <c r="M17" s="181"/>
      <c r="N17" s="181"/>
      <c r="O17" s="181"/>
      <c r="P17" s="181"/>
      <c r="Q17" s="181"/>
      <c r="R17" s="181"/>
      <c r="S17" s="181"/>
      <c r="T17" s="443"/>
      <c r="U17"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7" s="182">
        <f>ACOAETME2022[[#This Row],[TOTAL Non-Truncated Unadjusted Claims Expenses]]-ACOAETME2022[[#This Row],[Total Claims Excluded because of Truncation]]</f>
        <v>0</v>
      </c>
      <c r="W17"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7" s="182">
        <f>ACOAETME2022[[#This Row],[TOTAL Non-Truncated Unadjusted Claims Expenses]]+ACOAETME2022[[#This Row],[TOTAL Non-Claims Expenses]]</f>
        <v>0</v>
      </c>
      <c r="Y17" s="182">
        <f>ACOAETME2022[[#This Row],[TOTAL Truncated Unadjusted Claims Expenses (A19 - A17)]]+ACOAETME2022[[#This Row],[TOTAL Non-Claims Expenses]]</f>
        <v>0</v>
      </c>
      <c r="Z17" s="540" t="str">
        <f>IFERROR(ACOAETME2022[[#This Row],[TOTAL Non-Truncated Unadjusted Expenses 
(A19+A21)]]/ACOAETME2022[[#This Row],[Member Months]], "NA")</f>
        <v>NA</v>
      </c>
      <c r="AA17" s="232" t="str">
        <f>IFERROR(ACOAETME2022[[#This Row],[TOTAL Truncated Unadjusted Expenses (A20+A21)]]/ACOAETME2022[[#This Row],[Member Months]], "NA")</f>
        <v>NA</v>
      </c>
      <c r="AB17" s="504">
        <f>IFERROR(ACOAETME2022[[#This Row],[Total Claims Excluded because of Truncation]]/ACOAETME2022[[#This Row],[Count of Members with Claims Truncated]], 0)</f>
        <v>0</v>
      </c>
      <c r="AC17" s="508">
        <f>IFERROR(ACOAETME2022[[#This Row],[Total Claims Excluded because of Truncation]]/ACOAETME2022[[#This Row],[TOTAL Non-Truncated Unadjusted Claims Expenses]], 0)</f>
        <v>0</v>
      </c>
    </row>
    <row r="18" spans="1:29" x14ac:dyDescent="0.35">
      <c r="A18" s="8"/>
      <c r="B18" s="175"/>
      <c r="C18" s="179"/>
      <c r="D18" s="180"/>
      <c r="E18" s="181"/>
      <c r="F18" s="181"/>
      <c r="G18" s="181"/>
      <c r="H18" s="181"/>
      <c r="I18" s="181"/>
      <c r="J18" s="181"/>
      <c r="K18" s="181"/>
      <c r="L18" s="181"/>
      <c r="M18" s="181"/>
      <c r="N18" s="181"/>
      <c r="O18" s="181"/>
      <c r="P18" s="181"/>
      <c r="Q18" s="181"/>
      <c r="R18" s="181"/>
      <c r="S18" s="181"/>
      <c r="T18" s="443"/>
      <c r="U18"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8" s="182">
        <f>ACOAETME2022[[#This Row],[TOTAL Non-Truncated Unadjusted Claims Expenses]]-ACOAETME2022[[#This Row],[Total Claims Excluded because of Truncation]]</f>
        <v>0</v>
      </c>
      <c r="W18"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8" s="182">
        <f>ACOAETME2022[[#This Row],[TOTAL Non-Truncated Unadjusted Claims Expenses]]+ACOAETME2022[[#This Row],[TOTAL Non-Claims Expenses]]</f>
        <v>0</v>
      </c>
      <c r="Y18" s="182">
        <f>ACOAETME2022[[#This Row],[TOTAL Truncated Unadjusted Claims Expenses (A19 - A17)]]+ACOAETME2022[[#This Row],[TOTAL Non-Claims Expenses]]</f>
        <v>0</v>
      </c>
      <c r="Z18" s="540" t="str">
        <f>IFERROR(ACOAETME2022[[#This Row],[TOTAL Non-Truncated Unadjusted Expenses 
(A19+A21)]]/ACOAETME2022[[#This Row],[Member Months]], "NA")</f>
        <v>NA</v>
      </c>
      <c r="AA18" s="232" t="str">
        <f>IFERROR(ACOAETME2022[[#This Row],[TOTAL Truncated Unadjusted Expenses (A20+A21)]]/ACOAETME2022[[#This Row],[Member Months]], "NA")</f>
        <v>NA</v>
      </c>
      <c r="AB18" s="504">
        <f>IFERROR(ACOAETME2022[[#This Row],[Total Claims Excluded because of Truncation]]/ACOAETME2022[[#This Row],[Count of Members with Claims Truncated]], 0)</f>
        <v>0</v>
      </c>
      <c r="AC18" s="508">
        <f>IFERROR(ACOAETME2022[[#This Row],[Total Claims Excluded because of Truncation]]/ACOAETME2022[[#This Row],[TOTAL Non-Truncated Unadjusted Claims Expenses]], 0)</f>
        <v>0</v>
      </c>
    </row>
    <row r="19" spans="1:29" x14ac:dyDescent="0.35">
      <c r="A19" s="8"/>
      <c r="B19" s="175"/>
      <c r="C19" s="179"/>
      <c r="D19" s="180"/>
      <c r="E19" s="181"/>
      <c r="F19" s="181"/>
      <c r="G19" s="181"/>
      <c r="H19" s="181"/>
      <c r="I19" s="181"/>
      <c r="J19" s="181"/>
      <c r="K19" s="181"/>
      <c r="L19" s="181"/>
      <c r="M19" s="181"/>
      <c r="N19" s="181"/>
      <c r="O19" s="181"/>
      <c r="P19" s="181"/>
      <c r="Q19" s="181"/>
      <c r="R19" s="181"/>
      <c r="S19" s="181"/>
      <c r="T19" s="443"/>
      <c r="U19"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9" s="182">
        <f>ACOAETME2022[[#This Row],[TOTAL Non-Truncated Unadjusted Claims Expenses]]-ACOAETME2022[[#This Row],[Total Claims Excluded because of Truncation]]</f>
        <v>0</v>
      </c>
      <c r="W19"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9" s="182">
        <f>ACOAETME2022[[#This Row],[TOTAL Non-Truncated Unadjusted Claims Expenses]]+ACOAETME2022[[#This Row],[TOTAL Non-Claims Expenses]]</f>
        <v>0</v>
      </c>
      <c r="Y19" s="182">
        <f>ACOAETME2022[[#This Row],[TOTAL Truncated Unadjusted Claims Expenses (A19 - A17)]]+ACOAETME2022[[#This Row],[TOTAL Non-Claims Expenses]]</f>
        <v>0</v>
      </c>
      <c r="Z19" s="540" t="str">
        <f>IFERROR(ACOAETME2022[[#This Row],[TOTAL Non-Truncated Unadjusted Expenses 
(A19+A21)]]/ACOAETME2022[[#This Row],[Member Months]], "NA")</f>
        <v>NA</v>
      </c>
      <c r="AA19" s="232" t="str">
        <f>IFERROR(ACOAETME2022[[#This Row],[TOTAL Truncated Unadjusted Expenses (A20+A21)]]/ACOAETME2022[[#This Row],[Member Months]], "NA")</f>
        <v>NA</v>
      </c>
      <c r="AB19" s="504">
        <f>IFERROR(ACOAETME2022[[#This Row],[Total Claims Excluded because of Truncation]]/ACOAETME2022[[#This Row],[Count of Members with Claims Truncated]], 0)</f>
        <v>0</v>
      </c>
      <c r="AC19" s="508">
        <f>IFERROR(ACOAETME2022[[#This Row],[Total Claims Excluded because of Truncation]]/ACOAETME2022[[#This Row],[TOTAL Non-Truncated Unadjusted Claims Expenses]], 0)</f>
        <v>0</v>
      </c>
    </row>
    <row r="20" spans="1:29" x14ac:dyDescent="0.35">
      <c r="A20" s="8"/>
      <c r="B20" s="175"/>
      <c r="C20" s="179"/>
      <c r="D20" s="180"/>
      <c r="E20" s="181"/>
      <c r="F20" s="181"/>
      <c r="G20" s="181"/>
      <c r="H20" s="181"/>
      <c r="I20" s="181"/>
      <c r="J20" s="181"/>
      <c r="K20" s="181"/>
      <c r="L20" s="181"/>
      <c r="M20" s="181"/>
      <c r="N20" s="181"/>
      <c r="O20" s="181"/>
      <c r="P20" s="181"/>
      <c r="Q20" s="181"/>
      <c r="R20" s="181"/>
      <c r="S20" s="181"/>
      <c r="T20" s="443"/>
      <c r="U20"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20" s="182">
        <f>ACOAETME2022[[#This Row],[TOTAL Non-Truncated Unadjusted Claims Expenses]]-ACOAETME2022[[#This Row],[Total Claims Excluded because of Truncation]]</f>
        <v>0</v>
      </c>
      <c r="W20"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20" s="182">
        <f>ACOAETME2022[[#This Row],[TOTAL Non-Truncated Unadjusted Claims Expenses]]+ACOAETME2022[[#This Row],[TOTAL Non-Claims Expenses]]</f>
        <v>0</v>
      </c>
      <c r="Y20" s="182">
        <f>ACOAETME2022[[#This Row],[TOTAL Truncated Unadjusted Claims Expenses (A19 - A17)]]+ACOAETME2022[[#This Row],[TOTAL Non-Claims Expenses]]</f>
        <v>0</v>
      </c>
      <c r="Z20" s="540" t="str">
        <f>IFERROR(ACOAETME2022[[#This Row],[TOTAL Non-Truncated Unadjusted Expenses 
(A19+A21)]]/ACOAETME2022[[#This Row],[Member Months]], "NA")</f>
        <v>NA</v>
      </c>
      <c r="AA20" s="232" t="str">
        <f>IFERROR(ACOAETME2022[[#This Row],[TOTAL Truncated Unadjusted Expenses (A20+A21)]]/ACOAETME2022[[#This Row],[Member Months]], "NA")</f>
        <v>NA</v>
      </c>
      <c r="AB20" s="504">
        <f>IFERROR(ACOAETME2022[[#This Row],[Total Claims Excluded because of Truncation]]/ACOAETME2022[[#This Row],[Count of Members with Claims Truncated]], 0)</f>
        <v>0</v>
      </c>
      <c r="AC20" s="508">
        <f>IFERROR(ACOAETME2022[[#This Row],[Total Claims Excluded because of Truncation]]/ACOAETME2022[[#This Row],[TOTAL Non-Truncated Unadjusted Claims Expenses]], 0)</f>
        <v>0</v>
      </c>
    </row>
    <row r="21" spans="1:29" x14ac:dyDescent="0.35">
      <c r="A21" s="8"/>
      <c r="B21" s="175"/>
      <c r="C21" s="179"/>
      <c r="D21" s="180"/>
      <c r="E21" s="181"/>
      <c r="F21" s="181"/>
      <c r="G21" s="181"/>
      <c r="H21" s="181"/>
      <c r="I21" s="181"/>
      <c r="J21" s="181"/>
      <c r="K21" s="181"/>
      <c r="L21" s="181"/>
      <c r="M21" s="181"/>
      <c r="N21" s="181"/>
      <c r="O21" s="181"/>
      <c r="P21" s="181"/>
      <c r="Q21" s="181"/>
      <c r="R21" s="181"/>
      <c r="S21" s="181"/>
      <c r="T21" s="181"/>
      <c r="U21"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21" s="182">
        <f>ACOAETME2022[[#This Row],[TOTAL Non-Truncated Unadjusted Claims Expenses]]-ACOAETME2022[[#This Row],[Total Claims Excluded because of Truncation]]</f>
        <v>0</v>
      </c>
      <c r="W21"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21" s="182">
        <f>ACOAETME2022[[#This Row],[TOTAL Non-Truncated Unadjusted Claims Expenses]]+ACOAETME2022[[#This Row],[TOTAL Non-Claims Expenses]]</f>
        <v>0</v>
      </c>
      <c r="Y21" s="182">
        <f>ACOAETME2022[[#This Row],[TOTAL Truncated Unadjusted Claims Expenses (A19 - A17)]]+ACOAETME2022[[#This Row],[TOTAL Non-Claims Expenses]]</f>
        <v>0</v>
      </c>
      <c r="Z21" s="540" t="str">
        <f>IFERROR(ACOAETME2022[[#This Row],[TOTAL Non-Truncated Unadjusted Expenses 
(A19+A21)]]/ACOAETME2022[[#This Row],[Member Months]], "NA")</f>
        <v>NA</v>
      </c>
      <c r="AA21" s="232" t="str">
        <f>IFERROR(ACOAETME2022[[#This Row],[TOTAL Truncated Unadjusted Expenses (A20+A21)]]/ACOAETME2022[[#This Row],[Member Months]], "NA")</f>
        <v>NA</v>
      </c>
      <c r="AB21" s="504">
        <f>IFERROR(ACOAETME2022[[#This Row],[Total Claims Excluded because of Truncation]]/ACOAETME2022[[#This Row],[Count of Members with Claims Truncated]], 0)</f>
        <v>0</v>
      </c>
      <c r="AC21" s="508">
        <f>IFERROR(ACOAETME2022[[#This Row],[Total Claims Excluded because of Truncation]]/ACOAETME2022[[#This Row],[TOTAL Non-Truncated Unadjusted Claims Expenses]], 0)</f>
        <v>0</v>
      </c>
    </row>
    <row r="22" spans="1:29" x14ac:dyDescent="0.35">
      <c r="A22" s="526"/>
      <c r="B22" s="521"/>
      <c r="C22" s="522"/>
      <c r="D22" s="523"/>
      <c r="E22" s="524"/>
      <c r="F22" s="524"/>
      <c r="G22" s="524"/>
      <c r="H22" s="524"/>
      <c r="I22" s="524"/>
      <c r="J22" s="524"/>
      <c r="K22" s="524"/>
      <c r="L22" s="524"/>
      <c r="M22" s="524"/>
      <c r="N22" s="524"/>
      <c r="O22" s="524"/>
      <c r="P22" s="524"/>
      <c r="Q22" s="524"/>
      <c r="R22" s="524"/>
      <c r="S22" s="524"/>
      <c r="T22" s="524"/>
      <c r="U22"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22" s="182">
        <f>ACOAETME2022[[#This Row],[TOTAL Non-Truncated Unadjusted Claims Expenses]]-ACOAETME2022[[#This Row],[Total Claims Excluded because of Truncation]]</f>
        <v>0</v>
      </c>
      <c r="W22"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22" s="182">
        <f>ACOAETME2022[[#This Row],[TOTAL Non-Truncated Unadjusted Claims Expenses]]+ACOAETME2022[[#This Row],[TOTAL Non-Claims Expenses]]</f>
        <v>0</v>
      </c>
      <c r="Y22" s="182">
        <f>ACOAETME2022[[#This Row],[TOTAL Truncated Unadjusted Claims Expenses (A19 - A17)]]+ACOAETME2022[[#This Row],[TOTAL Non-Claims Expenses]]</f>
        <v>0</v>
      </c>
      <c r="Z22" s="540" t="str">
        <f>IFERROR(ACOAETME2022[[#This Row],[TOTAL Non-Truncated Unadjusted Expenses 
(A19+A21)]]/ACOAETME2022[[#This Row],[Member Months]], "NA")</f>
        <v>NA</v>
      </c>
      <c r="AA22" s="232" t="str">
        <f>IFERROR(ACOAETME2022[[#This Row],[TOTAL Truncated Unadjusted Expenses (A20+A21)]]/ACOAETME2022[[#This Row],[Member Months]], "NA")</f>
        <v>NA</v>
      </c>
      <c r="AB22" s="504">
        <f>IFERROR(ACOAETME2022[[#This Row],[Total Claims Excluded because of Truncation]]/ACOAETME2022[[#This Row],[Count of Members with Claims Truncated]], 0)</f>
        <v>0</v>
      </c>
      <c r="AC22" s="508">
        <f>IFERROR(ACOAETME2022[[#This Row],[Total Claims Excluded because of Truncation]]/ACOAETME2022[[#This Row],[TOTAL Non-Truncated Unadjusted Claims Expenses]], 0)</f>
        <v>0</v>
      </c>
    </row>
    <row r="23" spans="1:29" x14ac:dyDescent="0.35">
      <c r="A23" s="526"/>
      <c r="B23" s="521"/>
      <c r="C23" s="522"/>
      <c r="D23" s="523"/>
      <c r="E23" s="524"/>
      <c r="F23" s="524"/>
      <c r="G23" s="524"/>
      <c r="H23" s="524"/>
      <c r="I23" s="524"/>
      <c r="J23" s="524"/>
      <c r="K23" s="524"/>
      <c r="L23" s="524"/>
      <c r="M23" s="524"/>
      <c r="N23" s="524"/>
      <c r="O23" s="524"/>
      <c r="P23" s="524"/>
      <c r="Q23" s="524"/>
      <c r="R23" s="524"/>
      <c r="S23" s="524"/>
      <c r="T23" s="524"/>
      <c r="U23"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23" s="182">
        <f>ACOAETME2022[[#This Row],[TOTAL Non-Truncated Unadjusted Claims Expenses]]-ACOAETME2022[[#This Row],[Total Claims Excluded because of Truncation]]</f>
        <v>0</v>
      </c>
      <c r="W23"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23" s="182">
        <f>ACOAETME2022[[#This Row],[TOTAL Non-Truncated Unadjusted Claims Expenses]]+ACOAETME2022[[#This Row],[TOTAL Non-Claims Expenses]]</f>
        <v>0</v>
      </c>
      <c r="Y23" s="182">
        <f>ACOAETME2022[[#This Row],[TOTAL Truncated Unadjusted Claims Expenses (A19 - A17)]]+ACOAETME2022[[#This Row],[TOTAL Non-Claims Expenses]]</f>
        <v>0</v>
      </c>
      <c r="Z23" s="540" t="str">
        <f>IFERROR(ACOAETME2022[[#This Row],[TOTAL Non-Truncated Unadjusted Expenses 
(A19+A21)]]/ACOAETME2022[[#This Row],[Member Months]], "NA")</f>
        <v>NA</v>
      </c>
      <c r="AA23" s="232" t="str">
        <f>IFERROR(ACOAETME2022[[#This Row],[TOTAL Truncated Unadjusted Expenses (A20+A21)]]/ACOAETME2022[[#This Row],[Member Months]], "NA")</f>
        <v>NA</v>
      </c>
      <c r="AB23" s="504">
        <f>IFERROR(ACOAETME2022[[#This Row],[Total Claims Excluded because of Truncation]]/ACOAETME2022[[#This Row],[Count of Members with Claims Truncated]], 0)</f>
        <v>0</v>
      </c>
      <c r="AC23" s="508">
        <f>IFERROR(ACOAETME2022[[#This Row],[Total Claims Excluded because of Truncation]]/ACOAETME2022[[#This Row],[TOTAL Non-Truncated Unadjusted Claims Expenses]], 0)</f>
        <v>0</v>
      </c>
    </row>
    <row r="24" spans="1:29" x14ac:dyDescent="0.35">
      <c r="A24" s="8"/>
      <c r="B24" s="175"/>
      <c r="C24" s="179"/>
      <c r="D24" s="180"/>
      <c r="E24" s="181"/>
      <c r="F24" s="181"/>
      <c r="G24" s="181"/>
      <c r="H24" s="181"/>
      <c r="I24" s="181"/>
      <c r="J24" s="181"/>
      <c r="K24" s="181"/>
      <c r="L24" s="181"/>
      <c r="M24" s="181"/>
      <c r="N24" s="181"/>
      <c r="O24" s="181"/>
      <c r="P24" s="181"/>
      <c r="Q24" s="181"/>
      <c r="R24" s="181"/>
      <c r="S24" s="181"/>
      <c r="T24" s="443"/>
      <c r="U24"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24" s="182">
        <f>ACOAETME2022[[#This Row],[TOTAL Non-Truncated Unadjusted Claims Expenses]]-ACOAETME2022[[#This Row],[Total Claims Excluded because of Truncation]]</f>
        <v>0</v>
      </c>
      <c r="W24"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24" s="182">
        <f>ACOAETME2022[[#This Row],[TOTAL Non-Truncated Unadjusted Claims Expenses]]+ACOAETME2022[[#This Row],[TOTAL Non-Claims Expenses]]</f>
        <v>0</v>
      </c>
      <c r="Y24" s="182">
        <f>ACOAETME2022[[#This Row],[TOTAL Truncated Unadjusted Claims Expenses (A19 - A17)]]+ACOAETME2022[[#This Row],[TOTAL Non-Claims Expenses]]</f>
        <v>0</v>
      </c>
      <c r="Z24" s="540" t="str">
        <f>IFERROR(ACOAETME2022[[#This Row],[TOTAL Non-Truncated Unadjusted Expenses 
(A19+A21)]]/ACOAETME2022[[#This Row],[Member Months]], "NA")</f>
        <v>NA</v>
      </c>
      <c r="AA24" s="232" t="str">
        <f>IFERROR(ACOAETME2022[[#This Row],[TOTAL Truncated Unadjusted Expenses (A20+A21)]]/ACOAETME2022[[#This Row],[Member Months]], "NA")</f>
        <v>NA</v>
      </c>
      <c r="AB24" s="504">
        <f>IFERROR(ACOAETME2022[[#This Row],[Total Claims Excluded because of Truncation]]/ACOAETME2022[[#This Row],[Count of Members with Claims Truncated]], 0)</f>
        <v>0</v>
      </c>
      <c r="AC24" s="508">
        <f>IFERROR(ACOAETME2022[[#This Row],[Total Claims Excluded because of Truncation]]/ACOAETME2022[[#This Row],[TOTAL Non-Truncated Unadjusted Claims Expenses]], 0)</f>
        <v>0</v>
      </c>
    </row>
    <row r="25" spans="1:29" x14ac:dyDescent="0.35">
      <c r="A25" s="8"/>
      <c r="B25" s="175"/>
      <c r="C25" s="179"/>
      <c r="D25" s="180"/>
      <c r="E25" s="181"/>
      <c r="F25" s="181"/>
      <c r="G25" s="181"/>
      <c r="H25" s="181"/>
      <c r="I25" s="181"/>
      <c r="J25" s="181"/>
      <c r="K25" s="181"/>
      <c r="L25" s="181"/>
      <c r="M25" s="181"/>
      <c r="N25" s="181"/>
      <c r="O25" s="181"/>
      <c r="P25" s="181"/>
      <c r="Q25" s="181"/>
      <c r="R25" s="181"/>
      <c r="S25" s="181"/>
      <c r="T25" s="443"/>
      <c r="U25"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25" s="182">
        <f>ACOAETME2022[[#This Row],[TOTAL Non-Truncated Unadjusted Claims Expenses]]-ACOAETME2022[[#This Row],[Total Claims Excluded because of Truncation]]</f>
        <v>0</v>
      </c>
      <c r="W25"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25" s="182">
        <f>ACOAETME2022[[#This Row],[TOTAL Non-Truncated Unadjusted Claims Expenses]]+ACOAETME2022[[#This Row],[TOTAL Non-Claims Expenses]]</f>
        <v>0</v>
      </c>
      <c r="Y25" s="182">
        <f>ACOAETME2022[[#This Row],[TOTAL Truncated Unadjusted Claims Expenses (A19 - A17)]]+ACOAETME2022[[#This Row],[TOTAL Non-Claims Expenses]]</f>
        <v>0</v>
      </c>
      <c r="Z25" s="540" t="str">
        <f>IFERROR(ACOAETME2022[[#This Row],[TOTAL Non-Truncated Unadjusted Expenses 
(A19+A21)]]/ACOAETME2022[[#This Row],[Member Months]], "NA")</f>
        <v>NA</v>
      </c>
      <c r="AA25" s="232" t="str">
        <f>IFERROR(ACOAETME2022[[#This Row],[TOTAL Truncated Unadjusted Expenses (A20+A21)]]/ACOAETME2022[[#This Row],[Member Months]], "NA")</f>
        <v>NA</v>
      </c>
      <c r="AB25" s="504">
        <f>IFERROR(ACOAETME2022[[#This Row],[Total Claims Excluded because of Truncation]]/ACOAETME2022[[#This Row],[Count of Members with Claims Truncated]], 0)</f>
        <v>0</v>
      </c>
      <c r="AC25" s="508">
        <f>IFERROR(ACOAETME2022[[#This Row],[Total Claims Excluded because of Truncation]]/ACOAETME2022[[#This Row],[TOTAL Non-Truncated Unadjusted Claims Expenses]], 0)</f>
        <v>0</v>
      </c>
    </row>
    <row r="26" spans="1:29" x14ac:dyDescent="0.35">
      <c r="A26" s="8"/>
      <c r="B26" s="175"/>
      <c r="C26" s="179"/>
      <c r="D26" s="180"/>
      <c r="E26" s="181"/>
      <c r="F26" s="181"/>
      <c r="G26" s="181"/>
      <c r="H26" s="181"/>
      <c r="I26" s="181"/>
      <c r="J26" s="181"/>
      <c r="K26" s="181"/>
      <c r="L26" s="181"/>
      <c r="M26" s="181"/>
      <c r="N26" s="181"/>
      <c r="O26" s="181"/>
      <c r="P26" s="181"/>
      <c r="Q26" s="181"/>
      <c r="R26" s="181"/>
      <c r="S26" s="181"/>
      <c r="T26" s="443"/>
      <c r="U26"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26" s="182">
        <f>ACOAETME2022[[#This Row],[TOTAL Non-Truncated Unadjusted Claims Expenses]]-ACOAETME2022[[#This Row],[Total Claims Excluded because of Truncation]]</f>
        <v>0</v>
      </c>
      <c r="W26"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26" s="182">
        <f>ACOAETME2022[[#This Row],[TOTAL Non-Truncated Unadjusted Claims Expenses]]+ACOAETME2022[[#This Row],[TOTAL Non-Claims Expenses]]</f>
        <v>0</v>
      </c>
      <c r="Y26" s="182">
        <f>ACOAETME2022[[#This Row],[TOTAL Truncated Unadjusted Claims Expenses (A19 - A17)]]+ACOAETME2022[[#This Row],[TOTAL Non-Claims Expenses]]</f>
        <v>0</v>
      </c>
      <c r="Z26" s="540" t="str">
        <f>IFERROR(ACOAETME2022[[#This Row],[TOTAL Non-Truncated Unadjusted Expenses 
(A19+A21)]]/ACOAETME2022[[#This Row],[Member Months]], "NA")</f>
        <v>NA</v>
      </c>
      <c r="AA26" s="232" t="str">
        <f>IFERROR(ACOAETME2022[[#This Row],[TOTAL Truncated Unadjusted Expenses (A20+A21)]]/ACOAETME2022[[#This Row],[Member Months]], "NA")</f>
        <v>NA</v>
      </c>
      <c r="AB26" s="504">
        <f>IFERROR(ACOAETME2022[[#This Row],[Total Claims Excluded because of Truncation]]/ACOAETME2022[[#This Row],[Count of Members with Claims Truncated]], 0)</f>
        <v>0</v>
      </c>
      <c r="AC26" s="508">
        <f>IFERROR(ACOAETME2022[[#This Row],[Total Claims Excluded because of Truncation]]/ACOAETME2022[[#This Row],[TOTAL Non-Truncated Unadjusted Claims Expenses]], 0)</f>
        <v>0</v>
      </c>
    </row>
    <row r="27" spans="1:29" x14ac:dyDescent="0.35">
      <c r="A27" s="8"/>
      <c r="B27" s="175"/>
      <c r="C27" s="179"/>
      <c r="D27" s="180"/>
      <c r="E27" s="181"/>
      <c r="F27" s="181"/>
      <c r="G27" s="181"/>
      <c r="H27" s="181"/>
      <c r="I27" s="181"/>
      <c r="J27" s="181"/>
      <c r="K27" s="181"/>
      <c r="L27" s="181"/>
      <c r="M27" s="181"/>
      <c r="N27" s="181"/>
      <c r="O27" s="181"/>
      <c r="P27" s="181"/>
      <c r="Q27" s="181"/>
      <c r="R27" s="181"/>
      <c r="S27" s="181"/>
      <c r="T27" s="443"/>
      <c r="U27"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27" s="182">
        <f>ACOAETME2022[[#This Row],[TOTAL Non-Truncated Unadjusted Claims Expenses]]-ACOAETME2022[[#This Row],[Total Claims Excluded because of Truncation]]</f>
        <v>0</v>
      </c>
      <c r="W27"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27" s="182">
        <f>ACOAETME2022[[#This Row],[TOTAL Non-Truncated Unadjusted Claims Expenses]]+ACOAETME2022[[#This Row],[TOTAL Non-Claims Expenses]]</f>
        <v>0</v>
      </c>
      <c r="Y27" s="182">
        <f>ACOAETME2022[[#This Row],[TOTAL Truncated Unadjusted Claims Expenses (A19 - A17)]]+ACOAETME2022[[#This Row],[TOTAL Non-Claims Expenses]]</f>
        <v>0</v>
      </c>
      <c r="Z27" s="540" t="str">
        <f>IFERROR(ACOAETME2022[[#This Row],[TOTAL Non-Truncated Unadjusted Expenses 
(A19+A21)]]/ACOAETME2022[[#This Row],[Member Months]], "NA")</f>
        <v>NA</v>
      </c>
      <c r="AA27" s="232" t="str">
        <f>IFERROR(ACOAETME2022[[#This Row],[TOTAL Truncated Unadjusted Expenses (A20+A21)]]/ACOAETME2022[[#This Row],[Member Months]], "NA")</f>
        <v>NA</v>
      </c>
      <c r="AB27" s="504">
        <f>IFERROR(ACOAETME2022[[#This Row],[Total Claims Excluded because of Truncation]]/ACOAETME2022[[#This Row],[Count of Members with Claims Truncated]], 0)</f>
        <v>0</v>
      </c>
      <c r="AC27" s="508">
        <f>IFERROR(ACOAETME2022[[#This Row],[Total Claims Excluded because of Truncation]]/ACOAETME2022[[#This Row],[TOTAL Non-Truncated Unadjusted Claims Expenses]], 0)</f>
        <v>0</v>
      </c>
    </row>
    <row r="28" spans="1:29" x14ac:dyDescent="0.35">
      <c r="A28" s="8"/>
      <c r="B28" s="175"/>
      <c r="C28" s="179"/>
      <c r="D28" s="180"/>
      <c r="E28" s="181"/>
      <c r="F28" s="181"/>
      <c r="G28" s="181"/>
      <c r="H28" s="181"/>
      <c r="I28" s="181"/>
      <c r="J28" s="181"/>
      <c r="K28" s="181"/>
      <c r="L28" s="181"/>
      <c r="M28" s="181"/>
      <c r="N28" s="181"/>
      <c r="O28" s="181"/>
      <c r="P28" s="181"/>
      <c r="Q28" s="181"/>
      <c r="R28" s="181"/>
      <c r="S28" s="181"/>
      <c r="T28" s="443"/>
      <c r="U28"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28" s="182">
        <f>ACOAETME2022[[#This Row],[TOTAL Non-Truncated Unadjusted Claims Expenses]]-ACOAETME2022[[#This Row],[Total Claims Excluded because of Truncation]]</f>
        <v>0</v>
      </c>
      <c r="W28"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28" s="182">
        <f>ACOAETME2022[[#This Row],[TOTAL Non-Truncated Unadjusted Claims Expenses]]+ACOAETME2022[[#This Row],[TOTAL Non-Claims Expenses]]</f>
        <v>0</v>
      </c>
      <c r="Y28" s="182">
        <f>ACOAETME2022[[#This Row],[TOTAL Truncated Unadjusted Claims Expenses (A19 - A17)]]+ACOAETME2022[[#This Row],[TOTAL Non-Claims Expenses]]</f>
        <v>0</v>
      </c>
      <c r="Z28" s="540" t="str">
        <f>IFERROR(ACOAETME2022[[#This Row],[TOTAL Non-Truncated Unadjusted Expenses 
(A19+A21)]]/ACOAETME2022[[#This Row],[Member Months]], "NA")</f>
        <v>NA</v>
      </c>
      <c r="AA28" s="232" t="str">
        <f>IFERROR(ACOAETME2022[[#This Row],[TOTAL Truncated Unadjusted Expenses (A20+A21)]]/ACOAETME2022[[#This Row],[Member Months]], "NA")</f>
        <v>NA</v>
      </c>
      <c r="AB28" s="504">
        <f>IFERROR(ACOAETME2022[[#This Row],[Total Claims Excluded because of Truncation]]/ACOAETME2022[[#This Row],[Count of Members with Claims Truncated]], 0)</f>
        <v>0</v>
      </c>
      <c r="AC28" s="508">
        <f>IFERROR(ACOAETME2022[[#This Row],[Total Claims Excluded because of Truncation]]/ACOAETME2022[[#This Row],[TOTAL Non-Truncated Unadjusted Claims Expenses]], 0)</f>
        <v>0</v>
      </c>
    </row>
    <row r="29" spans="1:29" x14ac:dyDescent="0.35">
      <c r="A29" s="8"/>
      <c r="B29" s="175"/>
      <c r="C29" s="179"/>
      <c r="D29" s="180"/>
      <c r="E29" s="181"/>
      <c r="F29" s="181"/>
      <c r="G29" s="181"/>
      <c r="H29" s="181"/>
      <c r="I29" s="181"/>
      <c r="J29" s="181"/>
      <c r="K29" s="181"/>
      <c r="L29" s="181"/>
      <c r="M29" s="181"/>
      <c r="N29" s="181"/>
      <c r="O29" s="181"/>
      <c r="P29" s="181"/>
      <c r="Q29" s="181"/>
      <c r="R29" s="181"/>
      <c r="S29" s="181"/>
      <c r="T29" s="443"/>
      <c r="U29"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29" s="182">
        <f>ACOAETME2022[[#This Row],[TOTAL Non-Truncated Unadjusted Claims Expenses]]-ACOAETME2022[[#This Row],[Total Claims Excluded because of Truncation]]</f>
        <v>0</v>
      </c>
      <c r="W29"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29" s="182">
        <f>ACOAETME2022[[#This Row],[TOTAL Non-Truncated Unadjusted Claims Expenses]]+ACOAETME2022[[#This Row],[TOTAL Non-Claims Expenses]]</f>
        <v>0</v>
      </c>
      <c r="Y29" s="182">
        <f>ACOAETME2022[[#This Row],[TOTAL Truncated Unadjusted Claims Expenses (A19 - A17)]]+ACOAETME2022[[#This Row],[TOTAL Non-Claims Expenses]]</f>
        <v>0</v>
      </c>
      <c r="Z29" s="540" t="str">
        <f>IFERROR(ACOAETME2022[[#This Row],[TOTAL Non-Truncated Unadjusted Expenses 
(A19+A21)]]/ACOAETME2022[[#This Row],[Member Months]], "NA")</f>
        <v>NA</v>
      </c>
      <c r="AA29" s="232" t="str">
        <f>IFERROR(ACOAETME2022[[#This Row],[TOTAL Truncated Unadjusted Expenses (A20+A21)]]/ACOAETME2022[[#This Row],[Member Months]], "NA")</f>
        <v>NA</v>
      </c>
      <c r="AB29" s="504">
        <f>IFERROR(ACOAETME2022[[#This Row],[Total Claims Excluded because of Truncation]]/ACOAETME2022[[#This Row],[Count of Members with Claims Truncated]], 0)</f>
        <v>0</v>
      </c>
      <c r="AC29" s="508">
        <f>IFERROR(ACOAETME2022[[#This Row],[Total Claims Excluded because of Truncation]]/ACOAETME2022[[#This Row],[TOTAL Non-Truncated Unadjusted Claims Expenses]], 0)</f>
        <v>0</v>
      </c>
    </row>
    <row r="30" spans="1:29" x14ac:dyDescent="0.35">
      <c r="A30" s="8"/>
      <c r="B30" s="175"/>
      <c r="C30" s="179"/>
      <c r="D30" s="180"/>
      <c r="E30" s="181"/>
      <c r="F30" s="181"/>
      <c r="G30" s="181"/>
      <c r="H30" s="181"/>
      <c r="I30" s="181"/>
      <c r="J30" s="181"/>
      <c r="K30" s="181"/>
      <c r="L30" s="181"/>
      <c r="M30" s="181"/>
      <c r="N30" s="181"/>
      <c r="O30" s="181"/>
      <c r="P30" s="181"/>
      <c r="Q30" s="181"/>
      <c r="R30" s="181"/>
      <c r="S30" s="181"/>
      <c r="T30" s="443"/>
      <c r="U30"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30" s="182">
        <f>ACOAETME2022[[#This Row],[TOTAL Non-Truncated Unadjusted Claims Expenses]]-ACOAETME2022[[#This Row],[Total Claims Excluded because of Truncation]]</f>
        <v>0</v>
      </c>
      <c r="W30"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30" s="182">
        <f>ACOAETME2022[[#This Row],[TOTAL Non-Truncated Unadjusted Claims Expenses]]+ACOAETME2022[[#This Row],[TOTAL Non-Claims Expenses]]</f>
        <v>0</v>
      </c>
      <c r="Y30" s="182">
        <f>ACOAETME2022[[#This Row],[TOTAL Truncated Unadjusted Claims Expenses (A19 - A17)]]+ACOAETME2022[[#This Row],[TOTAL Non-Claims Expenses]]</f>
        <v>0</v>
      </c>
      <c r="Z30" s="540" t="str">
        <f>IFERROR(ACOAETME2022[[#This Row],[TOTAL Non-Truncated Unadjusted Expenses 
(A19+A21)]]/ACOAETME2022[[#This Row],[Member Months]], "NA")</f>
        <v>NA</v>
      </c>
      <c r="AA30" s="232" t="str">
        <f>IFERROR(ACOAETME2022[[#This Row],[TOTAL Truncated Unadjusted Expenses (A20+A21)]]/ACOAETME2022[[#This Row],[Member Months]], "NA")</f>
        <v>NA</v>
      </c>
      <c r="AB30" s="504">
        <f>IFERROR(ACOAETME2022[[#This Row],[Total Claims Excluded because of Truncation]]/ACOAETME2022[[#This Row],[Count of Members with Claims Truncated]], 0)</f>
        <v>0</v>
      </c>
      <c r="AC30" s="508">
        <f>IFERROR(ACOAETME2022[[#This Row],[Total Claims Excluded because of Truncation]]/ACOAETME2022[[#This Row],[TOTAL Non-Truncated Unadjusted Claims Expenses]], 0)</f>
        <v>0</v>
      </c>
    </row>
    <row r="31" spans="1:29" x14ac:dyDescent="0.35">
      <c r="A31" s="8"/>
      <c r="B31" s="175"/>
      <c r="C31" s="439"/>
      <c r="D31" s="175"/>
      <c r="E31" s="8"/>
      <c r="F31" s="8"/>
      <c r="G31" s="8"/>
      <c r="H31" s="8"/>
      <c r="I31" s="8"/>
      <c r="J31" s="181"/>
      <c r="K31" s="181"/>
      <c r="L31" s="181"/>
      <c r="M31" s="181"/>
      <c r="N31" s="181"/>
      <c r="O31" s="181"/>
      <c r="P31" s="181"/>
      <c r="Q31" s="181"/>
      <c r="R31" s="181"/>
      <c r="S31" s="451"/>
      <c r="T31" s="618"/>
      <c r="U31"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31" s="182">
        <f>ACOAETME2022[[#This Row],[TOTAL Non-Truncated Unadjusted Claims Expenses]]-ACOAETME2022[[#This Row],[Total Claims Excluded because of Truncation]]</f>
        <v>0</v>
      </c>
      <c r="W31"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31" s="182">
        <f>ACOAETME2022[[#This Row],[TOTAL Non-Truncated Unadjusted Claims Expenses]]+ACOAETME2022[[#This Row],[TOTAL Non-Claims Expenses]]</f>
        <v>0</v>
      </c>
      <c r="Y31" s="182">
        <f>ACOAETME2022[[#This Row],[TOTAL Truncated Unadjusted Claims Expenses (A19 - A17)]]+ACOAETME2022[[#This Row],[TOTAL Non-Claims Expenses]]</f>
        <v>0</v>
      </c>
      <c r="Z31" s="540" t="str">
        <f>IFERROR(ACOAETME2022[[#This Row],[TOTAL Non-Truncated Unadjusted Expenses 
(A19+A21)]]/ACOAETME2022[[#This Row],[Member Months]], "NA")</f>
        <v>NA</v>
      </c>
      <c r="AA31" s="232" t="str">
        <f>IFERROR(ACOAETME2022[[#This Row],[TOTAL Truncated Unadjusted Expenses (A20+A21)]]/ACOAETME2022[[#This Row],[Member Months]], "NA")</f>
        <v>NA</v>
      </c>
      <c r="AB31" s="504">
        <f>IFERROR(ACOAETME2022[[#This Row],[Total Claims Excluded because of Truncation]]/ACOAETME2022[[#This Row],[Count of Members with Claims Truncated]], 0)</f>
        <v>0</v>
      </c>
      <c r="AC31" s="508">
        <f>IFERROR(ACOAETME2022[[#This Row],[Total Claims Excluded because of Truncation]]/ACOAETME2022[[#This Row],[TOTAL Non-Truncated Unadjusted Claims Expenses]], 0)</f>
        <v>0</v>
      </c>
    </row>
    <row r="32" spans="1:29" x14ac:dyDescent="0.35">
      <c r="A32" s="8"/>
      <c r="B32" s="175"/>
      <c r="C32" s="439"/>
      <c r="D32" s="175"/>
      <c r="E32" s="8"/>
      <c r="F32" s="8"/>
      <c r="G32" s="8"/>
      <c r="H32" s="8"/>
      <c r="I32" s="8"/>
      <c r="J32" s="181"/>
      <c r="K32" s="181"/>
      <c r="L32" s="181"/>
      <c r="M32" s="181"/>
      <c r="N32" s="181"/>
      <c r="O32" s="181"/>
      <c r="P32" s="181"/>
      <c r="Q32" s="181"/>
      <c r="R32" s="181"/>
      <c r="S32" s="451"/>
      <c r="T32" s="618"/>
      <c r="U32"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32" s="182">
        <f>ACOAETME2022[[#This Row],[TOTAL Non-Truncated Unadjusted Claims Expenses]]-ACOAETME2022[[#This Row],[Total Claims Excluded because of Truncation]]</f>
        <v>0</v>
      </c>
      <c r="W32"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32" s="182">
        <f>ACOAETME2022[[#This Row],[TOTAL Non-Truncated Unadjusted Claims Expenses]]+ACOAETME2022[[#This Row],[TOTAL Non-Claims Expenses]]</f>
        <v>0</v>
      </c>
      <c r="Y32" s="182">
        <f>ACOAETME2022[[#This Row],[TOTAL Truncated Unadjusted Claims Expenses (A19 - A17)]]+ACOAETME2022[[#This Row],[TOTAL Non-Claims Expenses]]</f>
        <v>0</v>
      </c>
      <c r="Z32" s="540" t="str">
        <f>IFERROR(ACOAETME2022[[#This Row],[TOTAL Non-Truncated Unadjusted Expenses 
(A19+A21)]]/ACOAETME2022[[#This Row],[Member Months]], "NA")</f>
        <v>NA</v>
      </c>
      <c r="AA32" s="232" t="str">
        <f>IFERROR(ACOAETME2022[[#This Row],[TOTAL Truncated Unadjusted Expenses (A20+A21)]]/ACOAETME2022[[#This Row],[Member Months]], "NA")</f>
        <v>NA</v>
      </c>
      <c r="AB32" s="504">
        <f>IFERROR(ACOAETME2022[[#This Row],[Total Claims Excluded because of Truncation]]/ACOAETME2022[[#This Row],[Count of Members with Claims Truncated]], 0)</f>
        <v>0</v>
      </c>
      <c r="AC32" s="508">
        <f>IFERROR(ACOAETME2022[[#This Row],[Total Claims Excluded because of Truncation]]/ACOAETME2022[[#This Row],[TOTAL Non-Truncated Unadjusted Claims Expenses]], 0)</f>
        <v>0</v>
      </c>
    </row>
    <row r="33" spans="1:29" x14ac:dyDescent="0.35">
      <c r="A33" s="8"/>
      <c r="B33" s="175"/>
      <c r="C33" s="439"/>
      <c r="D33" s="175"/>
      <c r="E33" s="8"/>
      <c r="F33" s="8"/>
      <c r="G33" s="8"/>
      <c r="H33" s="8"/>
      <c r="I33" s="8"/>
      <c r="J33" s="181"/>
      <c r="K33" s="181"/>
      <c r="L33" s="181"/>
      <c r="M33" s="181"/>
      <c r="N33" s="181"/>
      <c r="O33" s="181"/>
      <c r="P33" s="181"/>
      <c r="Q33" s="181"/>
      <c r="R33" s="181"/>
      <c r="S33" s="451"/>
      <c r="T33" s="618"/>
      <c r="U33"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33" s="182">
        <f>ACOAETME2022[[#This Row],[TOTAL Non-Truncated Unadjusted Claims Expenses]]-ACOAETME2022[[#This Row],[Total Claims Excluded because of Truncation]]</f>
        <v>0</v>
      </c>
      <c r="W33"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33" s="182">
        <f>ACOAETME2022[[#This Row],[TOTAL Non-Truncated Unadjusted Claims Expenses]]+ACOAETME2022[[#This Row],[TOTAL Non-Claims Expenses]]</f>
        <v>0</v>
      </c>
      <c r="Y33" s="182">
        <f>ACOAETME2022[[#This Row],[TOTAL Truncated Unadjusted Claims Expenses (A19 - A17)]]+ACOAETME2022[[#This Row],[TOTAL Non-Claims Expenses]]</f>
        <v>0</v>
      </c>
      <c r="Z33" s="540" t="str">
        <f>IFERROR(ACOAETME2022[[#This Row],[TOTAL Non-Truncated Unadjusted Expenses 
(A19+A21)]]/ACOAETME2022[[#This Row],[Member Months]], "NA")</f>
        <v>NA</v>
      </c>
      <c r="AA33" s="232" t="str">
        <f>IFERROR(ACOAETME2022[[#This Row],[TOTAL Truncated Unadjusted Expenses (A20+A21)]]/ACOAETME2022[[#This Row],[Member Months]], "NA")</f>
        <v>NA</v>
      </c>
      <c r="AB33" s="504">
        <f>IFERROR(ACOAETME2022[[#This Row],[Total Claims Excluded because of Truncation]]/ACOAETME2022[[#This Row],[Count of Members with Claims Truncated]], 0)</f>
        <v>0</v>
      </c>
      <c r="AC33" s="508">
        <f>IFERROR(ACOAETME2022[[#This Row],[Total Claims Excluded because of Truncation]]/ACOAETME2022[[#This Row],[TOTAL Non-Truncated Unadjusted Claims Expenses]], 0)</f>
        <v>0</v>
      </c>
    </row>
    <row r="34" spans="1:29" x14ac:dyDescent="0.35">
      <c r="A34" s="8"/>
      <c r="B34" s="175"/>
      <c r="C34" s="439"/>
      <c r="D34" s="175"/>
      <c r="E34" s="8"/>
      <c r="F34" s="8"/>
      <c r="G34" s="8"/>
      <c r="H34" s="8"/>
      <c r="I34" s="8"/>
      <c r="J34" s="181"/>
      <c r="K34" s="181"/>
      <c r="L34" s="181"/>
      <c r="M34" s="181"/>
      <c r="N34" s="181"/>
      <c r="O34" s="181"/>
      <c r="P34" s="181"/>
      <c r="Q34" s="181"/>
      <c r="R34" s="181"/>
      <c r="S34" s="451"/>
      <c r="T34" s="618"/>
      <c r="U34"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34" s="182">
        <f>ACOAETME2022[[#This Row],[TOTAL Non-Truncated Unadjusted Claims Expenses]]-ACOAETME2022[[#This Row],[Total Claims Excluded because of Truncation]]</f>
        <v>0</v>
      </c>
      <c r="W34"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34" s="182">
        <f>ACOAETME2022[[#This Row],[TOTAL Non-Truncated Unadjusted Claims Expenses]]+ACOAETME2022[[#This Row],[TOTAL Non-Claims Expenses]]</f>
        <v>0</v>
      </c>
      <c r="Y34" s="182">
        <f>ACOAETME2022[[#This Row],[TOTAL Truncated Unadjusted Claims Expenses (A19 - A17)]]+ACOAETME2022[[#This Row],[TOTAL Non-Claims Expenses]]</f>
        <v>0</v>
      </c>
      <c r="Z34" s="540" t="str">
        <f>IFERROR(ACOAETME2022[[#This Row],[TOTAL Non-Truncated Unadjusted Expenses 
(A19+A21)]]/ACOAETME2022[[#This Row],[Member Months]], "NA")</f>
        <v>NA</v>
      </c>
      <c r="AA34" s="232" t="str">
        <f>IFERROR(ACOAETME2022[[#This Row],[TOTAL Truncated Unadjusted Expenses (A20+A21)]]/ACOAETME2022[[#This Row],[Member Months]], "NA")</f>
        <v>NA</v>
      </c>
      <c r="AB34" s="504">
        <f>IFERROR(ACOAETME2022[[#This Row],[Total Claims Excluded because of Truncation]]/ACOAETME2022[[#This Row],[Count of Members with Claims Truncated]], 0)</f>
        <v>0</v>
      </c>
      <c r="AC34" s="508">
        <f>IFERROR(ACOAETME2022[[#This Row],[Total Claims Excluded because of Truncation]]/ACOAETME2022[[#This Row],[TOTAL Non-Truncated Unadjusted Claims Expenses]], 0)</f>
        <v>0</v>
      </c>
    </row>
    <row r="35" spans="1:29" x14ac:dyDescent="0.35">
      <c r="A35" s="8"/>
      <c r="B35" s="175"/>
      <c r="C35" s="439"/>
      <c r="D35" s="175"/>
      <c r="E35" s="8"/>
      <c r="F35" s="8"/>
      <c r="G35" s="8"/>
      <c r="H35" s="8"/>
      <c r="I35" s="8"/>
      <c r="J35" s="181"/>
      <c r="K35" s="181"/>
      <c r="L35" s="181"/>
      <c r="M35" s="181"/>
      <c r="N35" s="181"/>
      <c r="O35" s="181"/>
      <c r="P35" s="181"/>
      <c r="Q35" s="181"/>
      <c r="R35" s="181"/>
      <c r="S35" s="451"/>
      <c r="T35" s="618"/>
      <c r="U35"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35" s="182">
        <f>ACOAETME2022[[#This Row],[TOTAL Non-Truncated Unadjusted Claims Expenses]]-ACOAETME2022[[#This Row],[Total Claims Excluded because of Truncation]]</f>
        <v>0</v>
      </c>
      <c r="W35"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35" s="182">
        <f>ACOAETME2022[[#This Row],[TOTAL Non-Truncated Unadjusted Claims Expenses]]+ACOAETME2022[[#This Row],[TOTAL Non-Claims Expenses]]</f>
        <v>0</v>
      </c>
      <c r="Y35" s="182">
        <f>ACOAETME2022[[#This Row],[TOTAL Truncated Unadjusted Claims Expenses (A19 - A17)]]+ACOAETME2022[[#This Row],[TOTAL Non-Claims Expenses]]</f>
        <v>0</v>
      </c>
      <c r="Z35" s="540" t="str">
        <f>IFERROR(ACOAETME2022[[#This Row],[TOTAL Non-Truncated Unadjusted Expenses 
(A19+A21)]]/ACOAETME2022[[#This Row],[Member Months]], "NA")</f>
        <v>NA</v>
      </c>
      <c r="AA35" s="232" t="str">
        <f>IFERROR(ACOAETME2022[[#This Row],[TOTAL Truncated Unadjusted Expenses (A20+A21)]]/ACOAETME2022[[#This Row],[Member Months]], "NA")</f>
        <v>NA</v>
      </c>
      <c r="AB35" s="504">
        <f>IFERROR(ACOAETME2022[[#This Row],[Total Claims Excluded because of Truncation]]/ACOAETME2022[[#This Row],[Count of Members with Claims Truncated]], 0)</f>
        <v>0</v>
      </c>
      <c r="AC35" s="508">
        <f>IFERROR(ACOAETME2022[[#This Row],[Total Claims Excluded because of Truncation]]/ACOAETME2022[[#This Row],[TOTAL Non-Truncated Unadjusted Claims Expenses]], 0)</f>
        <v>0</v>
      </c>
    </row>
    <row r="36" spans="1:29" x14ac:dyDescent="0.35">
      <c r="A36" s="8"/>
      <c r="B36" s="175"/>
      <c r="C36" s="439"/>
      <c r="D36" s="175"/>
      <c r="E36" s="8"/>
      <c r="F36" s="8"/>
      <c r="G36" s="8"/>
      <c r="H36" s="8"/>
      <c r="I36" s="8"/>
      <c r="J36" s="181"/>
      <c r="K36" s="181"/>
      <c r="L36" s="181"/>
      <c r="M36" s="181"/>
      <c r="N36" s="181"/>
      <c r="O36" s="181"/>
      <c r="P36" s="181"/>
      <c r="Q36" s="181"/>
      <c r="R36" s="181"/>
      <c r="S36" s="451"/>
      <c r="T36" s="618"/>
      <c r="U36"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36" s="182">
        <f>ACOAETME2022[[#This Row],[TOTAL Non-Truncated Unadjusted Claims Expenses]]-ACOAETME2022[[#This Row],[Total Claims Excluded because of Truncation]]</f>
        <v>0</v>
      </c>
      <c r="W36"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36" s="182">
        <f>ACOAETME2022[[#This Row],[TOTAL Non-Truncated Unadjusted Claims Expenses]]+ACOAETME2022[[#This Row],[TOTAL Non-Claims Expenses]]</f>
        <v>0</v>
      </c>
      <c r="Y36" s="182">
        <f>ACOAETME2022[[#This Row],[TOTAL Truncated Unadjusted Claims Expenses (A19 - A17)]]+ACOAETME2022[[#This Row],[TOTAL Non-Claims Expenses]]</f>
        <v>0</v>
      </c>
      <c r="Z36" s="540" t="str">
        <f>IFERROR(ACOAETME2022[[#This Row],[TOTAL Non-Truncated Unadjusted Expenses 
(A19+A21)]]/ACOAETME2022[[#This Row],[Member Months]], "NA")</f>
        <v>NA</v>
      </c>
      <c r="AA36" s="232" t="str">
        <f>IFERROR(ACOAETME2022[[#This Row],[TOTAL Truncated Unadjusted Expenses (A20+A21)]]/ACOAETME2022[[#This Row],[Member Months]], "NA")</f>
        <v>NA</v>
      </c>
      <c r="AB36" s="504">
        <f>IFERROR(ACOAETME2022[[#This Row],[Total Claims Excluded because of Truncation]]/ACOAETME2022[[#This Row],[Count of Members with Claims Truncated]], 0)</f>
        <v>0</v>
      </c>
      <c r="AC36" s="508">
        <f>IFERROR(ACOAETME2022[[#This Row],[Total Claims Excluded because of Truncation]]/ACOAETME2022[[#This Row],[TOTAL Non-Truncated Unadjusted Claims Expenses]], 0)</f>
        <v>0</v>
      </c>
    </row>
    <row r="37" spans="1:29" x14ac:dyDescent="0.35">
      <c r="A37" s="8"/>
      <c r="B37" s="175"/>
      <c r="C37" s="439"/>
      <c r="D37" s="175"/>
      <c r="E37" s="8"/>
      <c r="F37" s="8"/>
      <c r="G37" s="8"/>
      <c r="H37" s="8"/>
      <c r="I37" s="8"/>
      <c r="J37" s="181"/>
      <c r="K37" s="181"/>
      <c r="L37" s="181"/>
      <c r="M37" s="181"/>
      <c r="N37" s="181"/>
      <c r="O37" s="181"/>
      <c r="P37" s="181"/>
      <c r="Q37" s="181"/>
      <c r="R37" s="181"/>
      <c r="S37" s="451"/>
      <c r="T37" s="618"/>
      <c r="U37"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37" s="182">
        <f>ACOAETME2022[[#This Row],[TOTAL Non-Truncated Unadjusted Claims Expenses]]-ACOAETME2022[[#This Row],[Total Claims Excluded because of Truncation]]</f>
        <v>0</v>
      </c>
      <c r="W37"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37" s="182">
        <f>ACOAETME2022[[#This Row],[TOTAL Non-Truncated Unadjusted Claims Expenses]]+ACOAETME2022[[#This Row],[TOTAL Non-Claims Expenses]]</f>
        <v>0</v>
      </c>
      <c r="Y37" s="182">
        <f>ACOAETME2022[[#This Row],[TOTAL Truncated Unadjusted Claims Expenses (A19 - A17)]]+ACOAETME2022[[#This Row],[TOTAL Non-Claims Expenses]]</f>
        <v>0</v>
      </c>
      <c r="Z37" s="540" t="str">
        <f>IFERROR(ACOAETME2022[[#This Row],[TOTAL Non-Truncated Unadjusted Expenses 
(A19+A21)]]/ACOAETME2022[[#This Row],[Member Months]], "NA")</f>
        <v>NA</v>
      </c>
      <c r="AA37" s="232" t="str">
        <f>IFERROR(ACOAETME2022[[#This Row],[TOTAL Truncated Unadjusted Expenses (A20+A21)]]/ACOAETME2022[[#This Row],[Member Months]], "NA")</f>
        <v>NA</v>
      </c>
      <c r="AB37" s="504">
        <f>IFERROR(ACOAETME2022[[#This Row],[Total Claims Excluded because of Truncation]]/ACOAETME2022[[#This Row],[Count of Members with Claims Truncated]], 0)</f>
        <v>0</v>
      </c>
      <c r="AC37" s="508">
        <f>IFERROR(ACOAETME2022[[#This Row],[Total Claims Excluded because of Truncation]]/ACOAETME2022[[#This Row],[TOTAL Non-Truncated Unadjusted Claims Expenses]], 0)</f>
        <v>0</v>
      </c>
    </row>
    <row r="38" spans="1:29" x14ac:dyDescent="0.35">
      <c r="A38" s="8"/>
      <c r="B38" s="175"/>
      <c r="C38" s="439"/>
      <c r="D38" s="175"/>
      <c r="E38" s="8"/>
      <c r="F38" s="8"/>
      <c r="G38" s="8"/>
      <c r="H38" s="8"/>
      <c r="I38" s="8"/>
      <c r="J38" s="181"/>
      <c r="K38" s="181"/>
      <c r="L38" s="181"/>
      <c r="M38" s="181"/>
      <c r="N38" s="181"/>
      <c r="O38" s="181"/>
      <c r="P38" s="181"/>
      <c r="Q38" s="181"/>
      <c r="R38" s="181"/>
      <c r="S38" s="451"/>
      <c r="T38" s="618"/>
      <c r="U38"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38" s="182">
        <f>ACOAETME2022[[#This Row],[TOTAL Non-Truncated Unadjusted Claims Expenses]]-ACOAETME2022[[#This Row],[Total Claims Excluded because of Truncation]]</f>
        <v>0</v>
      </c>
      <c r="W38"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38" s="182">
        <f>ACOAETME2022[[#This Row],[TOTAL Non-Truncated Unadjusted Claims Expenses]]+ACOAETME2022[[#This Row],[TOTAL Non-Claims Expenses]]</f>
        <v>0</v>
      </c>
      <c r="Y38" s="182">
        <f>ACOAETME2022[[#This Row],[TOTAL Truncated Unadjusted Claims Expenses (A19 - A17)]]+ACOAETME2022[[#This Row],[TOTAL Non-Claims Expenses]]</f>
        <v>0</v>
      </c>
      <c r="Z38" s="540" t="str">
        <f>IFERROR(ACOAETME2022[[#This Row],[TOTAL Non-Truncated Unadjusted Expenses 
(A19+A21)]]/ACOAETME2022[[#This Row],[Member Months]], "NA")</f>
        <v>NA</v>
      </c>
      <c r="AA38" s="232" t="str">
        <f>IFERROR(ACOAETME2022[[#This Row],[TOTAL Truncated Unadjusted Expenses (A20+A21)]]/ACOAETME2022[[#This Row],[Member Months]], "NA")</f>
        <v>NA</v>
      </c>
      <c r="AB38" s="504">
        <f>IFERROR(ACOAETME2022[[#This Row],[Total Claims Excluded because of Truncation]]/ACOAETME2022[[#This Row],[Count of Members with Claims Truncated]], 0)</f>
        <v>0</v>
      </c>
      <c r="AC38" s="508">
        <f>IFERROR(ACOAETME2022[[#This Row],[Total Claims Excluded because of Truncation]]/ACOAETME2022[[#This Row],[TOTAL Non-Truncated Unadjusted Claims Expenses]], 0)</f>
        <v>0</v>
      </c>
    </row>
    <row r="39" spans="1:29" x14ac:dyDescent="0.35">
      <c r="A39" s="8"/>
      <c r="B39" s="175"/>
      <c r="C39" s="439"/>
      <c r="D39" s="175"/>
      <c r="E39" s="8"/>
      <c r="F39" s="8"/>
      <c r="G39" s="8"/>
      <c r="H39" s="8"/>
      <c r="I39" s="8"/>
      <c r="J39" s="181"/>
      <c r="K39" s="181"/>
      <c r="L39" s="181"/>
      <c r="M39" s="181"/>
      <c r="N39" s="181"/>
      <c r="O39" s="181"/>
      <c r="P39" s="181"/>
      <c r="Q39" s="181"/>
      <c r="R39" s="181"/>
      <c r="S39" s="451"/>
      <c r="T39" s="618"/>
      <c r="U39"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39" s="182">
        <f>ACOAETME2022[[#This Row],[TOTAL Non-Truncated Unadjusted Claims Expenses]]-ACOAETME2022[[#This Row],[Total Claims Excluded because of Truncation]]</f>
        <v>0</v>
      </c>
      <c r="W39"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39" s="182">
        <f>ACOAETME2022[[#This Row],[TOTAL Non-Truncated Unadjusted Claims Expenses]]+ACOAETME2022[[#This Row],[TOTAL Non-Claims Expenses]]</f>
        <v>0</v>
      </c>
      <c r="Y39" s="182">
        <f>ACOAETME2022[[#This Row],[TOTAL Truncated Unadjusted Claims Expenses (A19 - A17)]]+ACOAETME2022[[#This Row],[TOTAL Non-Claims Expenses]]</f>
        <v>0</v>
      </c>
      <c r="Z39" s="540" t="str">
        <f>IFERROR(ACOAETME2022[[#This Row],[TOTAL Non-Truncated Unadjusted Expenses 
(A19+A21)]]/ACOAETME2022[[#This Row],[Member Months]], "NA")</f>
        <v>NA</v>
      </c>
      <c r="AA39" s="232" t="str">
        <f>IFERROR(ACOAETME2022[[#This Row],[TOTAL Truncated Unadjusted Expenses (A20+A21)]]/ACOAETME2022[[#This Row],[Member Months]], "NA")</f>
        <v>NA</v>
      </c>
      <c r="AB39" s="504">
        <f>IFERROR(ACOAETME2022[[#This Row],[Total Claims Excluded because of Truncation]]/ACOAETME2022[[#This Row],[Count of Members with Claims Truncated]], 0)</f>
        <v>0</v>
      </c>
      <c r="AC39" s="508">
        <f>IFERROR(ACOAETME2022[[#This Row],[Total Claims Excluded because of Truncation]]/ACOAETME2022[[#This Row],[TOTAL Non-Truncated Unadjusted Claims Expenses]], 0)</f>
        <v>0</v>
      </c>
    </row>
    <row r="40" spans="1:29" x14ac:dyDescent="0.35">
      <c r="A40" s="8"/>
      <c r="B40" s="175"/>
      <c r="C40" s="439"/>
      <c r="D40" s="175"/>
      <c r="E40" s="8"/>
      <c r="F40" s="8"/>
      <c r="G40" s="8"/>
      <c r="H40" s="8"/>
      <c r="I40" s="8"/>
      <c r="J40" s="181"/>
      <c r="K40" s="181"/>
      <c r="L40" s="181"/>
      <c r="M40" s="181"/>
      <c r="N40" s="181"/>
      <c r="O40" s="181"/>
      <c r="P40" s="181"/>
      <c r="Q40" s="181"/>
      <c r="R40" s="181"/>
      <c r="S40" s="451"/>
      <c r="T40" s="618"/>
      <c r="U40"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40" s="182">
        <f>ACOAETME2022[[#This Row],[TOTAL Non-Truncated Unadjusted Claims Expenses]]-ACOAETME2022[[#This Row],[Total Claims Excluded because of Truncation]]</f>
        <v>0</v>
      </c>
      <c r="W40"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40" s="182">
        <f>ACOAETME2022[[#This Row],[TOTAL Non-Truncated Unadjusted Claims Expenses]]+ACOAETME2022[[#This Row],[TOTAL Non-Claims Expenses]]</f>
        <v>0</v>
      </c>
      <c r="Y40" s="182">
        <f>ACOAETME2022[[#This Row],[TOTAL Truncated Unadjusted Claims Expenses (A19 - A17)]]+ACOAETME2022[[#This Row],[TOTAL Non-Claims Expenses]]</f>
        <v>0</v>
      </c>
      <c r="Z40" s="540" t="str">
        <f>IFERROR(ACOAETME2022[[#This Row],[TOTAL Non-Truncated Unadjusted Expenses 
(A19+A21)]]/ACOAETME2022[[#This Row],[Member Months]], "NA")</f>
        <v>NA</v>
      </c>
      <c r="AA40" s="232" t="str">
        <f>IFERROR(ACOAETME2022[[#This Row],[TOTAL Truncated Unadjusted Expenses (A20+A21)]]/ACOAETME2022[[#This Row],[Member Months]], "NA")</f>
        <v>NA</v>
      </c>
      <c r="AB40" s="504">
        <f>IFERROR(ACOAETME2022[[#This Row],[Total Claims Excluded because of Truncation]]/ACOAETME2022[[#This Row],[Count of Members with Claims Truncated]], 0)</f>
        <v>0</v>
      </c>
      <c r="AC40" s="508">
        <f>IFERROR(ACOAETME2022[[#This Row],[Total Claims Excluded because of Truncation]]/ACOAETME2022[[#This Row],[TOTAL Non-Truncated Unadjusted Claims Expenses]], 0)</f>
        <v>0</v>
      </c>
    </row>
    <row r="41" spans="1:29" x14ac:dyDescent="0.35">
      <c r="A41" s="8"/>
      <c r="B41" s="175"/>
      <c r="C41" s="439"/>
      <c r="D41" s="442"/>
      <c r="E41" s="619"/>
      <c r="F41" s="619"/>
      <c r="G41" s="619"/>
      <c r="H41" s="619"/>
      <c r="I41" s="619"/>
      <c r="J41" s="181"/>
      <c r="K41" s="181"/>
      <c r="L41" s="181"/>
      <c r="M41" s="181"/>
      <c r="N41" s="181"/>
      <c r="O41" s="181"/>
      <c r="P41" s="181"/>
      <c r="Q41" s="181"/>
      <c r="R41" s="181"/>
      <c r="S41" s="451"/>
      <c r="T41" s="618"/>
      <c r="U41"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41" s="182">
        <f>ACOAETME2022[[#This Row],[TOTAL Non-Truncated Unadjusted Claims Expenses]]-ACOAETME2022[[#This Row],[Total Claims Excluded because of Truncation]]</f>
        <v>0</v>
      </c>
      <c r="W41"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41" s="182">
        <f>ACOAETME2022[[#This Row],[TOTAL Non-Truncated Unadjusted Claims Expenses]]+ACOAETME2022[[#This Row],[TOTAL Non-Claims Expenses]]</f>
        <v>0</v>
      </c>
      <c r="Y41" s="182">
        <f>ACOAETME2022[[#This Row],[TOTAL Truncated Unadjusted Claims Expenses (A19 - A17)]]+ACOAETME2022[[#This Row],[TOTAL Non-Claims Expenses]]</f>
        <v>0</v>
      </c>
      <c r="Z41" s="540" t="str">
        <f>IFERROR(ACOAETME2022[[#This Row],[TOTAL Non-Truncated Unadjusted Expenses 
(A19+A21)]]/ACOAETME2022[[#This Row],[Member Months]], "NA")</f>
        <v>NA</v>
      </c>
      <c r="AA41" s="232" t="str">
        <f>IFERROR(ACOAETME2022[[#This Row],[TOTAL Truncated Unadjusted Expenses (A20+A21)]]/ACOAETME2022[[#This Row],[Member Months]], "NA")</f>
        <v>NA</v>
      </c>
      <c r="AB41" s="504">
        <f>IFERROR(ACOAETME2022[[#This Row],[Total Claims Excluded because of Truncation]]/ACOAETME2022[[#This Row],[Count of Members with Claims Truncated]], 0)</f>
        <v>0</v>
      </c>
      <c r="AC41" s="508">
        <f>IFERROR(ACOAETME2022[[#This Row],[Total Claims Excluded because of Truncation]]/ACOAETME2022[[#This Row],[TOTAL Non-Truncated Unadjusted Claims Expenses]], 0)</f>
        <v>0</v>
      </c>
    </row>
    <row r="42" spans="1:29" x14ac:dyDescent="0.35">
      <c r="A42" s="8"/>
      <c r="B42" s="175"/>
      <c r="C42" s="439"/>
      <c r="D42" s="180"/>
      <c r="E42" s="620"/>
      <c r="F42" s="620"/>
      <c r="G42" s="620"/>
      <c r="H42" s="620"/>
      <c r="I42" s="620"/>
      <c r="J42" s="181"/>
      <c r="K42" s="181"/>
      <c r="L42" s="181"/>
      <c r="M42" s="181"/>
      <c r="N42" s="181"/>
      <c r="O42" s="181"/>
      <c r="P42" s="181"/>
      <c r="Q42" s="181"/>
      <c r="R42" s="181"/>
      <c r="S42" s="451"/>
      <c r="T42" s="618"/>
      <c r="U42"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42" s="182">
        <f>ACOAETME2022[[#This Row],[TOTAL Non-Truncated Unadjusted Claims Expenses]]-ACOAETME2022[[#This Row],[Total Claims Excluded because of Truncation]]</f>
        <v>0</v>
      </c>
      <c r="W42"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42" s="182">
        <f>ACOAETME2022[[#This Row],[TOTAL Non-Truncated Unadjusted Claims Expenses]]+ACOAETME2022[[#This Row],[TOTAL Non-Claims Expenses]]</f>
        <v>0</v>
      </c>
      <c r="Y42" s="182">
        <f>ACOAETME2022[[#This Row],[TOTAL Truncated Unadjusted Claims Expenses (A19 - A17)]]+ACOAETME2022[[#This Row],[TOTAL Non-Claims Expenses]]</f>
        <v>0</v>
      </c>
      <c r="Z42" s="540" t="str">
        <f>IFERROR(ACOAETME2022[[#This Row],[TOTAL Non-Truncated Unadjusted Expenses 
(A19+A21)]]/ACOAETME2022[[#This Row],[Member Months]], "NA")</f>
        <v>NA</v>
      </c>
      <c r="AA42" s="232" t="str">
        <f>IFERROR(ACOAETME2022[[#This Row],[TOTAL Truncated Unadjusted Expenses (A20+A21)]]/ACOAETME2022[[#This Row],[Member Months]], "NA")</f>
        <v>NA</v>
      </c>
      <c r="AB42" s="504">
        <f>IFERROR(ACOAETME2022[[#This Row],[Total Claims Excluded because of Truncation]]/ACOAETME2022[[#This Row],[Count of Members with Claims Truncated]], 0)</f>
        <v>0</v>
      </c>
      <c r="AC42" s="508">
        <f>IFERROR(ACOAETME2022[[#This Row],[Total Claims Excluded because of Truncation]]/ACOAETME2022[[#This Row],[TOTAL Non-Truncated Unadjusted Claims Expenses]], 0)</f>
        <v>0</v>
      </c>
    </row>
    <row r="43" spans="1:29" x14ac:dyDescent="0.35">
      <c r="A43" s="8"/>
      <c r="B43" s="175"/>
      <c r="C43" s="179"/>
      <c r="D43" s="180"/>
      <c r="E43" s="181"/>
      <c r="F43" s="181"/>
      <c r="G43" s="181"/>
      <c r="H43" s="181"/>
      <c r="I43" s="181"/>
      <c r="J43" s="181"/>
      <c r="K43" s="181"/>
      <c r="L43" s="181"/>
      <c r="M43" s="181"/>
      <c r="N43" s="181"/>
      <c r="O43" s="181"/>
      <c r="P43" s="181"/>
      <c r="Q43" s="181"/>
      <c r="R43" s="181"/>
      <c r="S43" s="181"/>
      <c r="T43" s="181"/>
      <c r="U43"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43" s="182">
        <f>ACOAETME2022[[#This Row],[TOTAL Non-Truncated Unadjusted Claims Expenses]]-ACOAETME2022[[#This Row],[Total Claims Excluded because of Truncation]]</f>
        <v>0</v>
      </c>
      <c r="W43"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43" s="182">
        <f>ACOAETME2022[[#This Row],[TOTAL Non-Truncated Unadjusted Claims Expenses]]+ACOAETME2022[[#This Row],[TOTAL Non-Claims Expenses]]</f>
        <v>0</v>
      </c>
      <c r="Y43" s="182">
        <f>ACOAETME2022[[#This Row],[TOTAL Truncated Unadjusted Claims Expenses (A19 - A17)]]+ACOAETME2022[[#This Row],[TOTAL Non-Claims Expenses]]</f>
        <v>0</v>
      </c>
      <c r="Z43" s="540" t="str">
        <f>IFERROR(ACOAETME2022[[#This Row],[TOTAL Non-Truncated Unadjusted Expenses 
(A19+A21)]]/ACOAETME2022[[#This Row],[Member Months]], "NA")</f>
        <v>NA</v>
      </c>
      <c r="AA43" s="232" t="str">
        <f>IFERROR(ACOAETME2022[[#This Row],[TOTAL Truncated Unadjusted Expenses (A20+A21)]]/ACOAETME2022[[#This Row],[Member Months]], "NA")</f>
        <v>NA</v>
      </c>
      <c r="AB43" s="504">
        <f>IFERROR(ACOAETME2022[[#This Row],[Total Claims Excluded because of Truncation]]/ACOAETME2022[[#This Row],[Count of Members with Claims Truncated]], 0)</f>
        <v>0</v>
      </c>
      <c r="AC43" s="508">
        <f>IFERROR(ACOAETME2022[[#This Row],[Total Claims Excluded because of Truncation]]/ACOAETME2022[[#This Row],[TOTAL Non-Truncated Unadjusted Claims Expenses]], 0)</f>
        <v>0</v>
      </c>
    </row>
    <row r="44" spans="1:29" x14ac:dyDescent="0.35">
      <c r="A44" s="8"/>
      <c r="B44" s="175"/>
      <c r="C44" s="179"/>
      <c r="D44" s="180"/>
      <c r="E44" s="181"/>
      <c r="F44" s="181"/>
      <c r="G44" s="181"/>
      <c r="H44" s="181"/>
      <c r="I44" s="181"/>
      <c r="J44" s="181"/>
      <c r="K44" s="181"/>
      <c r="L44" s="181"/>
      <c r="M44" s="181"/>
      <c r="N44" s="181"/>
      <c r="O44" s="181"/>
      <c r="P44" s="181"/>
      <c r="Q44" s="181"/>
      <c r="R44" s="181"/>
      <c r="S44" s="181"/>
      <c r="T44" s="181"/>
      <c r="U44"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44" s="182">
        <f>ACOAETME2022[[#This Row],[TOTAL Non-Truncated Unadjusted Claims Expenses]]-ACOAETME2022[[#This Row],[Total Claims Excluded because of Truncation]]</f>
        <v>0</v>
      </c>
      <c r="W44"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44" s="182">
        <f>ACOAETME2022[[#This Row],[TOTAL Non-Truncated Unadjusted Claims Expenses]]+ACOAETME2022[[#This Row],[TOTAL Non-Claims Expenses]]</f>
        <v>0</v>
      </c>
      <c r="Y44" s="182">
        <f>ACOAETME2022[[#This Row],[TOTAL Truncated Unadjusted Claims Expenses (A19 - A17)]]+ACOAETME2022[[#This Row],[TOTAL Non-Claims Expenses]]</f>
        <v>0</v>
      </c>
      <c r="Z44" s="540" t="str">
        <f>IFERROR(ACOAETME2022[[#This Row],[TOTAL Non-Truncated Unadjusted Expenses 
(A19+A21)]]/ACOAETME2022[[#This Row],[Member Months]], "NA")</f>
        <v>NA</v>
      </c>
      <c r="AA44" s="232" t="str">
        <f>IFERROR(ACOAETME2022[[#This Row],[TOTAL Truncated Unadjusted Expenses (A20+A21)]]/ACOAETME2022[[#This Row],[Member Months]], "NA")</f>
        <v>NA</v>
      </c>
      <c r="AB44" s="504">
        <f>IFERROR(ACOAETME2022[[#This Row],[Total Claims Excluded because of Truncation]]/ACOAETME2022[[#This Row],[Count of Members with Claims Truncated]], 0)</f>
        <v>0</v>
      </c>
      <c r="AC44" s="508">
        <f>IFERROR(ACOAETME2022[[#This Row],[Total Claims Excluded because of Truncation]]/ACOAETME2022[[#This Row],[TOTAL Non-Truncated Unadjusted Claims Expenses]], 0)</f>
        <v>0</v>
      </c>
    </row>
    <row r="45" spans="1:29" x14ac:dyDescent="0.35">
      <c r="A45" s="8"/>
      <c r="B45" s="175"/>
      <c r="C45" s="179"/>
      <c r="D45" s="180"/>
      <c r="E45" s="181"/>
      <c r="F45" s="181"/>
      <c r="G45" s="181"/>
      <c r="H45" s="181"/>
      <c r="I45" s="181"/>
      <c r="J45" s="181"/>
      <c r="K45" s="181"/>
      <c r="L45" s="181"/>
      <c r="M45" s="181"/>
      <c r="N45" s="181"/>
      <c r="O45" s="181"/>
      <c r="P45" s="181"/>
      <c r="Q45" s="181"/>
      <c r="R45" s="181"/>
      <c r="S45" s="181"/>
      <c r="T45" s="181"/>
      <c r="U45"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45" s="182">
        <f>ACOAETME2022[[#This Row],[TOTAL Non-Truncated Unadjusted Claims Expenses]]-ACOAETME2022[[#This Row],[Total Claims Excluded because of Truncation]]</f>
        <v>0</v>
      </c>
      <c r="W45"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45" s="182">
        <f>ACOAETME2022[[#This Row],[TOTAL Non-Truncated Unadjusted Claims Expenses]]+ACOAETME2022[[#This Row],[TOTAL Non-Claims Expenses]]</f>
        <v>0</v>
      </c>
      <c r="Y45" s="182">
        <f>ACOAETME2022[[#This Row],[TOTAL Truncated Unadjusted Claims Expenses (A19 - A17)]]+ACOAETME2022[[#This Row],[TOTAL Non-Claims Expenses]]</f>
        <v>0</v>
      </c>
      <c r="Z45" s="540" t="str">
        <f>IFERROR(ACOAETME2022[[#This Row],[TOTAL Non-Truncated Unadjusted Expenses 
(A19+A21)]]/ACOAETME2022[[#This Row],[Member Months]], "NA")</f>
        <v>NA</v>
      </c>
      <c r="AA45" s="232" t="str">
        <f>IFERROR(ACOAETME2022[[#This Row],[TOTAL Truncated Unadjusted Expenses (A20+A21)]]/ACOAETME2022[[#This Row],[Member Months]], "NA")</f>
        <v>NA</v>
      </c>
      <c r="AB45" s="504">
        <f>IFERROR(ACOAETME2022[[#This Row],[Total Claims Excluded because of Truncation]]/ACOAETME2022[[#This Row],[Count of Members with Claims Truncated]], 0)</f>
        <v>0</v>
      </c>
      <c r="AC45" s="508">
        <f>IFERROR(ACOAETME2022[[#This Row],[Total Claims Excluded because of Truncation]]/ACOAETME2022[[#This Row],[TOTAL Non-Truncated Unadjusted Claims Expenses]], 0)</f>
        <v>0</v>
      </c>
    </row>
    <row r="46" spans="1:29" x14ac:dyDescent="0.35">
      <c r="A46" s="8"/>
      <c r="B46" s="175"/>
      <c r="C46" s="179"/>
      <c r="D46" s="180"/>
      <c r="E46" s="181"/>
      <c r="F46" s="181"/>
      <c r="G46" s="181"/>
      <c r="H46" s="181"/>
      <c r="I46" s="181"/>
      <c r="J46" s="181"/>
      <c r="K46" s="181"/>
      <c r="L46" s="181"/>
      <c r="M46" s="181"/>
      <c r="N46" s="181"/>
      <c r="O46" s="181"/>
      <c r="P46" s="181"/>
      <c r="Q46" s="181"/>
      <c r="R46" s="181"/>
      <c r="S46" s="181"/>
      <c r="T46" s="181"/>
      <c r="U46"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46" s="182">
        <f>ACOAETME2022[[#This Row],[TOTAL Non-Truncated Unadjusted Claims Expenses]]-ACOAETME2022[[#This Row],[Total Claims Excluded because of Truncation]]</f>
        <v>0</v>
      </c>
      <c r="W46"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46" s="182">
        <f>ACOAETME2022[[#This Row],[TOTAL Non-Truncated Unadjusted Claims Expenses]]+ACOAETME2022[[#This Row],[TOTAL Non-Claims Expenses]]</f>
        <v>0</v>
      </c>
      <c r="Y46" s="182">
        <f>ACOAETME2022[[#This Row],[TOTAL Truncated Unadjusted Claims Expenses (A19 - A17)]]+ACOAETME2022[[#This Row],[TOTAL Non-Claims Expenses]]</f>
        <v>0</v>
      </c>
      <c r="Z46" s="540" t="str">
        <f>IFERROR(ACOAETME2022[[#This Row],[TOTAL Non-Truncated Unadjusted Expenses 
(A19+A21)]]/ACOAETME2022[[#This Row],[Member Months]], "NA")</f>
        <v>NA</v>
      </c>
      <c r="AA46" s="232" t="str">
        <f>IFERROR(ACOAETME2022[[#This Row],[TOTAL Truncated Unadjusted Expenses (A20+A21)]]/ACOAETME2022[[#This Row],[Member Months]], "NA")</f>
        <v>NA</v>
      </c>
      <c r="AB46" s="504">
        <f>IFERROR(ACOAETME2022[[#This Row],[Total Claims Excluded because of Truncation]]/ACOAETME2022[[#This Row],[Count of Members with Claims Truncated]], 0)</f>
        <v>0</v>
      </c>
      <c r="AC46" s="508">
        <f>IFERROR(ACOAETME2022[[#This Row],[Total Claims Excluded because of Truncation]]/ACOAETME2022[[#This Row],[TOTAL Non-Truncated Unadjusted Claims Expenses]], 0)</f>
        <v>0</v>
      </c>
    </row>
    <row r="47" spans="1:29" x14ac:dyDescent="0.35">
      <c r="A47" s="8"/>
      <c r="B47" s="175"/>
      <c r="C47" s="179"/>
      <c r="D47" s="180"/>
      <c r="E47" s="181"/>
      <c r="F47" s="181"/>
      <c r="G47" s="181"/>
      <c r="H47" s="181"/>
      <c r="I47" s="181"/>
      <c r="J47" s="181"/>
      <c r="K47" s="181"/>
      <c r="L47" s="181"/>
      <c r="M47" s="181"/>
      <c r="N47" s="181"/>
      <c r="O47" s="181"/>
      <c r="P47" s="181"/>
      <c r="Q47" s="181"/>
      <c r="R47" s="181"/>
      <c r="S47" s="181"/>
      <c r="T47" s="181"/>
      <c r="U47"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47" s="182">
        <f>ACOAETME2022[[#This Row],[TOTAL Non-Truncated Unadjusted Claims Expenses]]-ACOAETME2022[[#This Row],[Total Claims Excluded because of Truncation]]</f>
        <v>0</v>
      </c>
      <c r="W47"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47" s="182">
        <f>ACOAETME2022[[#This Row],[TOTAL Non-Truncated Unadjusted Claims Expenses]]+ACOAETME2022[[#This Row],[TOTAL Non-Claims Expenses]]</f>
        <v>0</v>
      </c>
      <c r="Y47" s="182">
        <f>ACOAETME2022[[#This Row],[TOTAL Truncated Unadjusted Claims Expenses (A19 - A17)]]+ACOAETME2022[[#This Row],[TOTAL Non-Claims Expenses]]</f>
        <v>0</v>
      </c>
      <c r="Z47" s="540" t="str">
        <f>IFERROR(ACOAETME2022[[#This Row],[TOTAL Non-Truncated Unadjusted Expenses 
(A19+A21)]]/ACOAETME2022[[#This Row],[Member Months]], "NA")</f>
        <v>NA</v>
      </c>
      <c r="AA47" s="232" t="str">
        <f>IFERROR(ACOAETME2022[[#This Row],[TOTAL Truncated Unadjusted Expenses (A20+A21)]]/ACOAETME2022[[#This Row],[Member Months]], "NA")</f>
        <v>NA</v>
      </c>
      <c r="AB47" s="504">
        <f>IFERROR(ACOAETME2022[[#This Row],[Total Claims Excluded because of Truncation]]/ACOAETME2022[[#This Row],[Count of Members with Claims Truncated]], 0)</f>
        <v>0</v>
      </c>
      <c r="AC47" s="508">
        <f>IFERROR(ACOAETME2022[[#This Row],[Total Claims Excluded because of Truncation]]/ACOAETME2022[[#This Row],[TOTAL Non-Truncated Unadjusted Claims Expenses]], 0)</f>
        <v>0</v>
      </c>
    </row>
    <row r="48" spans="1:29" x14ac:dyDescent="0.35">
      <c r="A48" s="8"/>
      <c r="B48" s="175"/>
      <c r="C48" s="179"/>
      <c r="D48" s="180"/>
      <c r="E48" s="181"/>
      <c r="F48" s="181"/>
      <c r="G48" s="181"/>
      <c r="H48" s="181"/>
      <c r="I48" s="181"/>
      <c r="J48" s="181"/>
      <c r="K48" s="181"/>
      <c r="L48" s="181"/>
      <c r="M48" s="181"/>
      <c r="N48" s="181"/>
      <c r="O48" s="181"/>
      <c r="P48" s="181"/>
      <c r="Q48" s="181"/>
      <c r="R48" s="181"/>
      <c r="S48" s="181"/>
      <c r="T48" s="181"/>
      <c r="U48"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48" s="182">
        <f>ACOAETME2022[[#This Row],[TOTAL Non-Truncated Unadjusted Claims Expenses]]-ACOAETME2022[[#This Row],[Total Claims Excluded because of Truncation]]</f>
        <v>0</v>
      </c>
      <c r="W48"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48" s="182">
        <f>ACOAETME2022[[#This Row],[TOTAL Non-Truncated Unadjusted Claims Expenses]]+ACOAETME2022[[#This Row],[TOTAL Non-Claims Expenses]]</f>
        <v>0</v>
      </c>
      <c r="Y48" s="182">
        <f>ACOAETME2022[[#This Row],[TOTAL Truncated Unadjusted Claims Expenses (A19 - A17)]]+ACOAETME2022[[#This Row],[TOTAL Non-Claims Expenses]]</f>
        <v>0</v>
      </c>
      <c r="Z48" s="540" t="str">
        <f>IFERROR(ACOAETME2022[[#This Row],[TOTAL Non-Truncated Unadjusted Expenses 
(A19+A21)]]/ACOAETME2022[[#This Row],[Member Months]], "NA")</f>
        <v>NA</v>
      </c>
      <c r="AA48" s="232" t="str">
        <f>IFERROR(ACOAETME2022[[#This Row],[TOTAL Truncated Unadjusted Expenses (A20+A21)]]/ACOAETME2022[[#This Row],[Member Months]], "NA")</f>
        <v>NA</v>
      </c>
      <c r="AB48" s="504">
        <f>IFERROR(ACOAETME2022[[#This Row],[Total Claims Excluded because of Truncation]]/ACOAETME2022[[#This Row],[Count of Members with Claims Truncated]], 0)</f>
        <v>0</v>
      </c>
      <c r="AC48" s="508">
        <f>IFERROR(ACOAETME2022[[#This Row],[Total Claims Excluded because of Truncation]]/ACOAETME2022[[#This Row],[TOTAL Non-Truncated Unadjusted Claims Expenses]], 0)</f>
        <v>0</v>
      </c>
    </row>
    <row r="49" spans="1:29" x14ac:dyDescent="0.35">
      <c r="A49" s="8"/>
      <c r="B49" s="175"/>
      <c r="C49" s="179"/>
      <c r="D49" s="180"/>
      <c r="E49" s="181"/>
      <c r="F49" s="181"/>
      <c r="G49" s="181"/>
      <c r="H49" s="181"/>
      <c r="I49" s="181"/>
      <c r="J49" s="181"/>
      <c r="K49" s="181"/>
      <c r="L49" s="181"/>
      <c r="M49" s="181"/>
      <c r="N49" s="181"/>
      <c r="O49" s="181"/>
      <c r="P49" s="181"/>
      <c r="Q49" s="181"/>
      <c r="R49" s="181"/>
      <c r="S49" s="181"/>
      <c r="T49" s="181"/>
      <c r="U49"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49" s="182">
        <f>ACOAETME2022[[#This Row],[TOTAL Non-Truncated Unadjusted Claims Expenses]]-ACOAETME2022[[#This Row],[Total Claims Excluded because of Truncation]]</f>
        <v>0</v>
      </c>
      <c r="W49"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49" s="182">
        <f>ACOAETME2022[[#This Row],[TOTAL Non-Truncated Unadjusted Claims Expenses]]+ACOAETME2022[[#This Row],[TOTAL Non-Claims Expenses]]</f>
        <v>0</v>
      </c>
      <c r="Y49" s="182">
        <f>ACOAETME2022[[#This Row],[TOTAL Truncated Unadjusted Claims Expenses (A19 - A17)]]+ACOAETME2022[[#This Row],[TOTAL Non-Claims Expenses]]</f>
        <v>0</v>
      </c>
      <c r="Z49" s="540" t="str">
        <f>IFERROR(ACOAETME2022[[#This Row],[TOTAL Non-Truncated Unadjusted Expenses 
(A19+A21)]]/ACOAETME2022[[#This Row],[Member Months]], "NA")</f>
        <v>NA</v>
      </c>
      <c r="AA49" s="232" t="str">
        <f>IFERROR(ACOAETME2022[[#This Row],[TOTAL Truncated Unadjusted Expenses (A20+A21)]]/ACOAETME2022[[#This Row],[Member Months]], "NA")</f>
        <v>NA</v>
      </c>
      <c r="AB49" s="504">
        <f>IFERROR(ACOAETME2022[[#This Row],[Total Claims Excluded because of Truncation]]/ACOAETME2022[[#This Row],[Count of Members with Claims Truncated]], 0)</f>
        <v>0</v>
      </c>
      <c r="AC49" s="508">
        <f>IFERROR(ACOAETME2022[[#This Row],[Total Claims Excluded because of Truncation]]/ACOAETME2022[[#This Row],[TOTAL Non-Truncated Unadjusted Claims Expenses]], 0)</f>
        <v>0</v>
      </c>
    </row>
    <row r="50" spans="1:29" x14ac:dyDescent="0.35">
      <c r="A50" s="8"/>
      <c r="B50" s="175"/>
      <c r="C50" s="179"/>
      <c r="D50" s="180"/>
      <c r="E50" s="181"/>
      <c r="F50" s="181"/>
      <c r="G50" s="181"/>
      <c r="H50" s="181"/>
      <c r="I50" s="181"/>
      <c r="J50" s="181"/>
      <c r="K50" s="181"/>
      <c r="L50" s="181"/>
      <c r="M50" s="181"/>
      <c r="N50" s="181"/>
      <c r="O50" s="181"/>
      <c r="P50" s="181"/>
      <c r="Q50" s="181"/>
      <c r="R50" s="181"/>
      <c r="S50" s="181"/>
      <c r="T50" s="181"/>
      <c r="U50"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50" s="182">
        <f>ACOAETME2022[[#This Row],[TOTAL Non-Truncated Unadjusted Claims Expenses]]-ACOAETME2022[[#This Row],[Total Claims Excluded because of Truncation]]</f>
        <v>0</v>
      </c>
      <c r="W50"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50" s="182">
        <f>ACOAETME2022[[#This Row],[TOTAL Non-Truncated Unadjusted Claims Expenses]]+ACOAETME2022[[#This Row],[TOTAL Non-Claims Expenses]]</f>
        <v>0</v>
      </c>
      <c r="Y50" s="182">
        <f>ACOAETME2022[[#This Row],[TOTAL Truncated Unadjusted Claims Expenses (A19 - A17)]]+ACOAETME2022[[#This Row],[TOTAL Non-Claims Expenses]]</f>
        <v>0</v>
      </c>
      <c r="Z50" s="540" t="str">
        <f>IFERROR(ACOAETME2022[[#This Row],[TOTAL Non-Truncated Unadjusted Expenses 
(A19+A21)]]/ACOAETME2022[[#This Row],[Member Months]], "NA")</f>
        <v>NA</v>
      </c>
      <c r="AA50" s="232" t="str">
        <f>IFERROR(ACOAETME2022[[#This Row],[TOTAL Truncated Unadjusted Expenses (A20+A21)]]/ACOAETME2022[[#This Row],[Member Months]], "NA")</f>
        <v>NA</v>
      </c>
      <c r="AB50" s="504">
        <f>IFERROR(ACOAETME2022[[#This Row],[Total Claims Excluded because of Truncation]]/ACOAETME2022[[#This Row],[Count of Members with Claims Truncated]], 0)</f>
        <v>0</v>
      </c>
      <c r="AC50" s="508">
        <f>IFERROR(ACOAETME2022[[#This Row],[Total Claims Excluded because of Truncation]]/ACOAETME2022[[#This Row],[TOTAL Non-Truncated Unadjusted Claims Expenses]], 0)</f>
        <v>0</v>
      </c>
    </row>
    <row r="51" spans="1:29" x14ac:dyDescent="0.35">
      <c r="A51" s="8"/>
      <c r="B51" s="175"/>
      <c r="C51" s="179"/>
      <c r="D51" s="180"/>
      <c r="E51" s="181"/>
      <c r="F51" s="181"/>
      <c r="G51" s="181"/>
      <c r="H51" s="181"/>
      <c r="I51" s="181"/>
      <c r="J51" s="181"/>
      <c r="K51" s="181"/>
      <c r="L51" s="181"/>
      <c r="M51" s="181"/>
      <c r="N51" s="181"/>
      <c r="O51" s="181"/>
      <c r="P51" s="181"/>
      <c r="Q51" s="181"/>
      <c r="R51" s="181"/>
      <c r="S51" s="181"/>
      <c r="T51" s="181"/>
      <c r="U51"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51" s="182">
        <f>ACOAETME2022[[#This Row],[TOTAL Non-Truncated Unadjusted Claims Expenses]]-ACOAETME2022[[#This Row],[Total Claims Excluded because of Truncation]]</f>
        <v>0</v>
      </c>
      <c r="W51"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51" s="182">
        <f>ACOAETME2022[[#This Row],[TOTAL Non-Truncated Unadjusted Claims Expenses]]+ACOAETME2022[[#This Row],[TOTAL Non-Claims Expenses]]</f>
        <v>0</v>
      </c>
      <c r="Y51" s="182">
        <f>ACOAETME2022[[#This Row],[TOTAL Truncated Unadjusted Claims Expenses (A19 - A17)]]+ACOAETME2022[[#This Row],[TOTAL Non-Claims Expenses]]</f>
        <v>0</v>
      </c>
      <c r="Z51" s="540" t="str">
        <f>IFERROR(ACOAETME2022[[#This Row],[TOTAL Non-Truncated Unadjusted Expenses 
(A19+A21)]]/ACOAETME2022[[#This Row],[Member Months]], "NA")</f>
        <v>NA</v>
      </c>
      <c r="AA51" s="232" t="str">
        <f>IFERROR(ACOAETME2022[[#This Row],[TOTAL Truncated Unadjusted Expenses (A20+A21)]]/ACOAETME2022[[#This Row],[Member Months]], "NA")</f>
        <v>NA</v>
      </c>
      <c r="AB51" s="504">
        <f>IFERROR(ACOAETME2022[[#This Row],[Total Claims Excluded because of Truncation]]/ACOAETME2022[[#This Row],[Count of Members with Claims Truncated]], 0)</f>
        <v>0</v>
      </c>
      <c r="AC51" s="508">
        <f>IFERROR(ACOAETME2022[[#This Row],[Total Claims Excluded because of Truncation]]/ACOAETME2022[[#This Row],[TOTAL Non-Truncated Unadjusted Claims Expenses]], 0)</f>
        <v>0</v>
      </c>
    </row>
    <row r="52" spans="1:29" x14ac:dyDescent="0.35">
      <c r="A52" s="8"/>
      <c r="B52" s="175"/>
      <c r="C52" s="179"/>
      <c r="D52" s="180"/>
      <c r="E52" s="181"/>
      <c r="F52" s="181"/>
      <c r="G52" s="181"/>
      <c r="H52" s="181"/>
      <c r="I52" s="181"/>
      <c r="J52" s="181"/>
      <c r="K52" s="181"/>
      <c r="L52" s="181"/>
      <c r="M52" s="181"/>
      <c r="N52" s="181"/>
      <c r="O52" s="181"/>
      <c r="P52" s="181"/>
      <c r="Q52" s="181"/>
      <c r="R52" s="181"/>
      <c r="S52" s="181"/>
      <c r="T52" s="181"/>
      <c r="U52"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52" s="182">
        <f>ACOAETME2022[[#This Row],[TOTAL Non-Truncated Unadjusted Claims Expenses]]-ACOAETME2022[[#This Row],[Total Claims Excluded because of Truncation]]</f>
        <v>0</v>
      </c>
      <c r="W52"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52" s="182">
        <f>ACOAETME2022[[#This Row],[TOTAL Non-Truncated Unadjusted Claims Expenses]]+ACOAETME2022[[#This Row],[TOTAL Non-Claims Expenses]]</f>
        <v>0</v>
      </c>
      <c r="Y52" s="182">
        <f>ACOAETME2022[[#This Row],[TOTAL Truncated Unadjusted Claims Expenses (A19 - A17)]]+ACOAETME2022[[#This Row],[TOTAL Non-Claims Expenses]]</f>
        <v>0</v>
      </c>
      <c r="Z52" s="540" t="str">
        <f>IFERROR(ACOAETME2022[[#This Row],[TOTAL Non-Truncated Unadjusted Expenses 
(A19+A21)]]/ACOAETME2022[[#This Row],[Member Months]], "NA")</f>
        <v>NA</v>
      </c>
      <c r="AA52" s="232" t="str">
        <f>IFERROR(ACOAETME2022[[#This Row],[TOTAL Truncated Unadjusted Expenses (A20+A21)]]/ACOAETME2022[[#This Row],[Member Months]], "NA")</f>
        <v>NA</v>
      </c>
      <c r="AB52" s="504">
        <f>IFERROR(ACOAETME2022[[#This Row],[Total Claims Excluded because of Truncation]]/ACOAETME2022[[#This Row],[Count of Members with Claims Truncated]], 0)</f>
        <v>0</v>
      </c>
      <c r="AC52" s="508">
        <f>IFERROR(ACOAETME2022[[#This Row],[Total Claims Excluded because of Truncation]]/ACOAETME2022[[#This Row],[TOTAL Non-Truncated Unadjusted Claims Expenses]], 0)</f>
        <v>0</v>
      </c>
    </row>
    <row r="53" spans="1:29" x14ac:dyDescent="0.35">
      <c r="A53" s="8"/>
      <c r="B53" s="175"/>
      <c r="C53" s="179"/>
      <c r="D53" s="180"/>
      <c r="E53" s="181"/>
      <c r="F53" s="181"/>
      <c r="G53" s="181"/>
      <c r="H53" s="181"/>
      <c r="I53" s="181"/>
      <c r="J53" s="181"/>
      <c r="K53" s="181"/>
      <c r="L53" s="181"/>
      <c r="M53" s="181"/>
      <c r="N53" s="181"/>
      <c r="O53" s="181"/>
      <c r="P53" s="181"/>
      <c r="Q53" s="181"/>
      <c r="R53" s="181"/>
      <c r="S53" s="181"/>
      <c r="T53" s="181"/>
      <c r="U53"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53" s="182">
        <f>ACOAETME2022[[#This Row],[TOTAL Non-Truncated Unadjusted Claims Expenses]]-ACOAETME2022[[#This Row],[Total Claims Excluded because of Truncation]]</f>
        <v>0</v>
      </c>
      <c r="W53"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53" s="182">
        <f>ACOAETME2022[[#This Row],[TOTAL Non-Truncated Unadjusted Claims Expenses]]+ACOAETME2022[[#This Row],[TOTAL Non-Claims Expenses]]</f>
        <v>0</v>
      </c>
      <c r="Y53" s="182">
        <f>ACOAETME2022[[#This Row],[TOTAL Truncated Unadjusted Claims Expenses (A19 - A17)]]+ACOAETME2022[[#This Row],[TOTAL Non-Claims Expenses]]</f>
        <v>0</v>
      </c>
      <c r="Z53" s="540" t="str">
        <f>IFERROR(ACOAETME2022[[#This Row],[TOTAL Non-Truncated Unadjusted Expenses 
(A19+A21)]]/ACOAETME2022[[#This Row],[Member Months]], "NA")</f>
        <v>NA</v>
      </c>
      <c r="AA53" s="232" t="str">
        <f>IFERROR(ACOAETME2022[[#This Row],[TOTAL Truncated Unadjusted Expenses (A20+A21)]]/ACOAETME2022[[#This Row],[Member Months]], "NA")</f>
        <v>NA</v>
      </c>
      <c r="AB53" s="504">
        <f>IFERROR(ACOAETME2022[[#This Row],[Total Claims Excluded because of Truncation]]/ACOAETME2022[[#This Row],[Count of Members with Claims Truncated]], 0)</f>
        <v>0</v>
      </c>
      <c r="AC53" s="508">
        <f>IFERROR(ACOAETME2022[[#This Row],[Total Claims Excluded because of Truncation]]/ACOAETME2022[[#This Row],[TOTAL Non-Truncated Unadjusted Claims Expenses]], 0)</f>
        <v>0</v>
      </c>
    </row>
    <row r="54" spans="1:29" x14ac:dyDescent="0.35">
      <c r="A54" s="8"/>
      <c r="B54" s="175"/>
      <c r="C54" s="179"/>
      <c r="D54" s="180"/>
      <c r="E54" s="181"/>
      <c r="F54" s="181"/>
      <c r="G54" s="181"/>
      <c r="H54" s="181"/>
      <c r="I54" s="181"/>
      <c r="J54" s="181"/>
      <c r="K54" s="181"/>
      <c r="L54" s="181"/>
      <c r="M54" s="181"/>
      <c r="N54" s="181"/>
      <c r="O54" s="181"/>
      <c r="P54" s="181"/>
      <c r="Q54" s="181"/>
      <c r="R54" s="181"/>
      <c r="S54" s="181"/>
      <c r="T54" s="181"/>
      <c r="U54"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54" s="182">
        <f>ACOAETME2022[[#This Row],[TOTAL Non-Truncated Unadjusted Claims Expenses]]-ACOAETME2022[[#This Row],[Total Claims Excluded because of Truncation]]</f>
        <v>0</v>
      </c>
      <c r="W54"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54" s="182">
        <f>ACOAETME2022[[#This Row],[TOTAL Non-Truncated Unadjusted Claims Expenses]]+ACOAETME2022[[#This Row],[TOTAL Non-Claims Expenses]]</f>
        <v>0</v>
      </c>
      <c r="Y54" s="182">
        <f>ACOAETME2022[[#This Row],[TOTAL Truncated Unadjusted Claims Expenses (A19 - A17)]]+ACOAETME2022[[#This Row],[TOTAL Non-Claims Expenses]]</f>
        <v>0</v>
      </c>
      <c r="Z54" s="540" t="str">
        <f>IFERROR(ACOAETME2022[[#This Row],[TOTAL Non-Truncated Unadjusted Expenses 
(A19+A21)]]/ACOAETME2022[[#This Row],[Member Months]], "NA")</f>
        <v>NA</v>
      </c>
      <c r="AA54" s="232" t="str">
        <f>IFERROR(ACOAETME2022[[#This Row],[TOTAL Truncated Unadjusted Expenses (A20+A21)]]/ACOAETME2022[[#This Row],[Member Months]], "NA")</f>
        <v>NA</v>
      </c>
      <c r="AB54" s="504">
        <f>IFERROR(ACOAETME2022[[#This Row],[Total Claims Excluded because of Truncation]]/ACOAETME2022[[#This Row],[Count of Members with Claims Truncated]], 0)</f>
        <v>0</v>
      </c>
      <c r="AC54" s="508">
        <f>IFERROR(ACOAETME2022[[#This Row],[Total Claims Excluded because of Truncation]]/ACOAETME2022[[#This Row],[TOTAL Non-Truncated Unadjusted Claims Expenses]], 0)</f>
        <v>0</v>
      </c>
    </row>
    <row r="55" spans="1:29" x14ac:dyDescent="0.35">
      <c r="A55" s="8"/>
      <c r="B55" s="175"/>
      <c r="C55" s="179"/>
      <c r="D55" s="180"/>
      <c r="E55" s="181"/>
      <c r="F55" s="181"/>
      <c r="G55" s="181"/>
      <c r="H55" s="181"/>
      <c r="I55" s="181"/>
      <c r="J55" s="181"/>
      <c r="K55" s="181"/>
      <c r="L55" s="181"/>
      <c r="M55" s="181"/>
      <c r="N55" s="181"/>
      <c r="O55" s="181"/>
      <c r="P55" s="181"/>
      <c r="Q55" s="181"/>
      <c r="R55" s="181"/>
      <c r="S55" s="181"/>
      <c r="T55" s="181"/>
      <c r="U55"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55" s="182">
        <f>ACOAETME2022[[#This Row],[TOTAL Non-Truncated Unadjusted Claims Expenses]]-ACOAETME2022[[#This Row],[Total Claims Excluded because of Truncation]]</f>
        <v>0</v>
      </c>
      <c r="W55"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55" s="182">
        <f>ACOAETME2022[[#This Row],[TOTAL Non-Truncated Unadjusted Claims Expenses]]+ACOAETME2022[[#This Row],[TOTAL Non-Claims Expenses]]</f>
        <v>0</v>
      </c>
      <c r="Y55" s="182">
        <f>ACOAETME2022[[#This Row],[TOTAL Truncated Unadjusted Claims Expenses (A19 - A17)]]+ACOAETME2022[[#This Row],[TOTAL Non-Claims Expenses]]</f>
        <v>0</v>
      </c>
      <c r="Z55" s="540" t="str">
        <f>IFERROR(ACOAETME2022[[#This Row],[TOTAL Non-Truncated Unadjusted Expenses 
(A19+A21)]]/ACOAETME2022[[#This Row],[Member Months]], "NA")</f>
        <v>NA</v>
      </c>
      <c r="AA55" s="232" t="str">
        <f>IFERROR(ACOAETME2022[[#This Row],[TOTAL Truncated Unadjusted Expenses (A20+A21)]]/ACOAETME2022[[#This Row],[Member Months]], "NA")</f>
        <v>NA</v>
      </c>
      <c r="AB55" s="504">
        <f>IFERROR(ACOAETME2022[[#This Row],[Total Claims Excluded because of Truncation]]/ACOAETME2022[[#This Row],[Count of Members with Claims Truncated]], 0)</f>
        <v>0</v>
      </c>
      <c r="AC55" s="508">
        <f>IFERROR(ACOAETME2022[[#This Row],[Total Claims Excluded because of Truncation]]/ACOAETME2022[[#This Row],[TOTAL Non-Truncated Unadjusted Claims Expenses]], 0)</f>
        <v>0</v>
      </c>
    </row>
    <row r="56" spans="1:29" x14ac:dyDescent="0.35">
      <c r="A56" s="8"/>
      <c r="B56" s="175"/>
      <c r="C56" s="179"/>
      <c r="D56" s="180"/>
      <c r="E56" s="181"/>
      <c r="F56" s="181"/>
      <c r="G56" s="181"/>
      <c r="H56" s="181"/>
      <c r="I56" s="181"/>
      <c r="J56" s="181"/>
      <c r="K56" s="181"/>
      <c r="L56" s="181"/>
      <c r="M56" s="181"/>
      <c r="N56" s="181"/>
      <c r="O56" s="181"/>
      <c r="P56" s="181"/>
      <c r="Q56" s="181"/>
      <c r="R56" s="181"/>
      <c r="S56" s="181"/>
      <c r="T56" s="181"/>
      <c r="U56"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56" s="182">
        <f>ACOAETME2022[[#This Row],[TOTAL Non-Truncated Unadjusted Claims Expenses]]-ACOAETME2022[[#This Row],[Total Claims Excluded because of Truncation]]</f>
        <v>0</v>
      </c>
      <c r="W56"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56" s="182">
        <f>ACOAETME2022[[#This Row],[TOTAL Non-Truncated Unadjusted Claims Expenses]]+ACOAETME2022[[#This Row],[TOTAL Non-Claims Expenses]]</f>
        <v>0</v>
      </c>
      <c r="Y56" s="182">
        <f>ACOAETME2022[[#This Row],[TOTAL Truncated Unadjusted Claims Expenses (A19 - A17)]]+ACOAETME2022[[#This Row],[TOTAL Non-Claims Expenses]]</f>
        <v>0</v>
      </c>
      <c r="Z56" s="540" t="str">
        <f>IFERROR(ACOAETME2022[[#This Row],[TOTAL Non-Truncated Unadjusted Expenses 
(A19+A21)]]/ACOAETME2022[[#This Row],[Member Months]], "NA")</f>
        <v>NA</v>
      </c>
      <c r="AA56" s="232" t="str">
        <f>IFERROR(ACOAETME2022[[#This Row],[TOTAL Truncated Unadjusted Expenses (A20+A21)]]/ACOAETME2022[[#This Row],[Member Months]], "NA")</f>
        <v>NA</v>
      </c>
      <c r="AB56" s="504">
        <f>IFERROR(ACOAETME2022[[#This Row],[Total Claims Excluded because of Truncation]]/ACOAETME2022[[#This Row],[Count of Members with Claims Truncated]], 0)</f>
        <v>0</v>
      </c>
      <c r="AC56" s="508">
        <f>IFERROR(ACOAETME2022[[#This Row],[Total Claims Excluded because of Truncation]]/ACOAETME2022[[#This Row],[TOTAL Non-Truncated Unadjusted Claims Expenses]], 0)</f>
        <v>0</v>
      </c>
    </row>
    <row r="57" spans="1:29" x14ac:dyDescent="0.35">
      <c r="A57" s="8"/>
      <c r="B57" s="175"/>
      <c r="C57" s="179"/>
      <c r="D57" s="180"/>
      <c r="E57" s="181"/>
      <c r="F57" s="181"/>
      <c r="G57" s="181"/>
      <c r="H57" s="181"/>
      <c r="I57" s="181"/>
      <c r="J57" s="181"/>
      <c r="K57" s="181"/>
      <c r="L57" s="181"/>
      <c r="M57" s="181"/>
      <c r="N57" s="181"/>
      <c r="O57" s="181"/>
      <c r="P57" s="181"/>
      <c r="Q57" s="181"/>
      <c r="R57" s="181"/>
      <c r="S57" s="181"/>
      <c r="T57" s="181"/>
      <c r="U57"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57" s="182">
        <f>ACOAETME2022[[#This Row],[TOTAL Non-Truncated Unadjusted Claims Expenses]]-ACOAETME2022[[#This Row],[Total Claims Excluded because of Truncation]]</f>
        <v>0</v>
      </c>
      <c r="W57"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57" s="182">
        <f>ACOAETME2022[[#This Row],[TOTAL Non-Truncated Unadjusted Claims Expenses]]+ACOAETME2022[[#This Row],[TOTAL Non-Claims Expenses]]</f>
        <v>0</v>
      </c>
      <c r="Y57" s="182">
        <f>ACOAETME2022[[#This Row],[TOTAL Truncated Unadjusted Claims Expenses (A19 - A17)]]+ACOAETME2022[[#This Row],[TOTAL Non-Claims Expenses]]</f>
        <v>0</v>
      </c>
      <c r="Z57" s="540" t="str">
        <f>IFERROR(ACOAETME2022[[#This Row],[TOTAL Non-Truncated Unadjusted Expenses 
(A19+A21)]]/ACOAETME2022[[#This Row],[Member Months]], "NA")</f>
        <v>NA</v>
      </c>
      <c r="AA57" s="232" t="str">
        <f>IFERROR(ACOAETME2022[[#This Row],[TOTAL Truncated Unadjusted Expenses (A20+A21)]]/ACOAETME2022[[#This Row],[Member Months]], "NA")</f>
        <v>NA</v>
      </c>
      <c r="AB57" s="504">
        <f>IFERROR(ACOAETME2022[[#This Row],[Total Claims Excluded because of Truncation]]/ACOAETME2022[[#This Row],[Count of Members with Claims Truncated]], 0)</f>
        <v>0</v>
      </c>
      <c r="AC57" s="508">
        <f>IFERROR(ACOAETME2022[[#This Row],[Total Claims Excluded because of Truncation]]/ACOAETME2022[[#This Row],[TOTAL Non-Truncated Unadjusted Claims Expenses]], 0)</f>
        <v>0</v>
      </c>
    </row>
    <row r="58" spans="1:29" x14ac:dyDescent="0.35">
      <c r="A58" s="8"/>
      <c r="B58" s="175"/>
      <c r="C58" s="179"/>
      <c r="D58" s="180"/>
      <c r="E58" s="181"/>
      <c r="F58" s="181"/>
      <c r="G58" s="181"/>
      <c r="H58" s="181"/>
      <c r="I58" s="181"/>
      <c r="J58" s="181"/>
      <c r="K58" s="181"/>
      <c r="L58" s="181"/>
      <c r="M58" s="181"/>
      <c r="N58" s="181"/>
      <c r="O58" s="181"/>
      <c r="P58" s="181"/>
      <c r="Q58" s="181"/>
      <c r="R58" s="181"/>
      <c r="S58" s="181"/>
      <c r="T58" s="181"/>
      <c r="U58"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58" s="182">
        <f>ACOAETME2022[[#This Row],[TOTAL Non-Truncated Unadjusted Claims Expenses]]-ACOAETME2022[[#This Row],[Total Claims Excluded because of Truncation]]</f>
        <v>0</v>
      </c>
      <c r="W58"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58" s="182">
        <f>ACOAETME2022[[#This Row],[TOTAL Non-Truncated Unadjusted Claims Expenses]]+ACOAETME2022[[#This Row],[TOTAL Non-Claims Expenses]]</f>
        <v>0</v>
      </c>
      <c r="Y58" s="182">
        <f>ACOAETME2022[[#This Row],[TOTAL Truncated Unadjusted Claims Expenses (A19 - A17)]]+ACOAETME2022[[#This Row],[TOTAL Non-Claims Expenses]]</f>
        <v>0</v>
      </c>
      <c r="Z58" s="540" t="str">
        <f>IFERROR(ACOAETME2022[[#This Row],[TOTAL Non-Truncated Unadjusted Expenses 
(A19+A21)]]/ACOAETME2022[[#This Row],[Member Months]], "NA")</f>
        <v>NA</v>
      </c>
      <c r="AA58" s="232" t="str">
        <f>IFERROR(ACOAETME2022[[#This Row],[TOTAL Truncated Unadjusted Expenses (A20+A21)]]/ACOAETME2022[[#This Row],[Member Months]], "NA")</f>
        <v>NA</v>
      </c>
      <c r="AB58" s="504">
        <f>IFERROR(ACOAETME2022[[#This Row],[Total Claims Excluded because of Truncation]]/ACOAETME2022[[#This Row],[Count of Members with Claims Truncated]], 0)</f>
        <v>0</v>
      </c>
      <c r="AC58" s="508">
        <f>IFERROR(ACOAETME2022[[#This Row],[Total Claims Excluded because of Truncation]]/ACOAETME2022[[#This Row],[TOTAL Non-Truncated Unadjusted Claims Expenses]], 0)</f>
        <v>0</v>
      </c>
    </row>
    <row r="59" spans="1:29" x14ac:dyDescent="0.35">
      <c r="A59" s="8"/>
      <c r="B59" s="175"/>
      <c r="C59" s="179"/>
      <c r="D59" s="180"/>
      <c r="E59" s="181"/>
      <c r="F59" s="181"/>
      <c r="G59" s="181"/>
      <c r="H59" s="181"/>
      <c r="I59" s="181"/>
      <c r="J59" s="181"/>
      <c r="K59" s="181"/>
      <c r="L59" s="181"/>
      <c r="M59" s="181"/>
      <c r="N59" s="181"/>
      <c r="O59" s="181"/>
      <c r="P59" s="181"/>
      <c r="Q59" s="181"/>
      <c r="R59" s="181"/>
      <c r="S59" s="181"/>
      <c r="T59" s="181"/>
      <c r="U59"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59" s="182">
        <f>ACOAETME2022[[#This Row],[TOTAL Non-Truncated Unadjusted Claims Expenses]]-ACOAETME2022[[#This Row],[Total Claims Excluded because of Truncation]]</f>
        <v>0</v>
      </c>
      <c r="W59"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59" s="182">
        <f>ACOAETME2022[[#This Row],[TOTAL Non-Truncated Unadjusted Claims Expenses]]+ACOAETME2022[[#This Row],[TOTAL Non-Claims Expenses]]</f>
        <v>0</v>
      </c>
      <c r="Y59" s="182">
        <f>ACOAETME2022[[#This Row],[TOTAL Truncated Unadjusted Claims Expenses (A19 - A17)]]+ACOAETME2022[[#This Row],[TOTAL Non-Claims Expenses]]</f>
        <v>0</v>
      </c>
      <c r="Z59" s="540" t="str">
        <f>IFERROR(ACOAETME2022[[#This Row],[TOTAL Non-Truncated Unadjusted Expenses 
(A19+A21)]]/ACOAETME2022[[#This Row],[Member Months]], "NA")</f>
        <v>NA</v>
      </c>
      <c r="AA59" s="232" t="str">
        <f>IFERROR(ACOAETME2022[[#This Row],[TOTAL Truncated Unadjusted Expenses (A20+A21)]]/ACOAETME2022[[#This Row],[Member Months]], "NA")</f>
        <v>NA</v>
      </c>
      <c r="AB59" s="504">
        <f>IFERROR(ACOAETME2022[[#This Row],[Total Claims Excluded because of Truncation]]/ACOAETME2022[[#This Row],[Count of Members with Claims Truncated]], 0)</f>
        <v>0</v>
      </c>
      <c r="AC59" s="508">
        <f>IFERROR(ACOAETME2022[[#This Row],[Total Claims Excluded because of Truncation]]/ACOAETME2022[[#This Row],[TOTAL Non-Truncated Unadjusted Claims Expenses]], 0)</f>
        <v>0</v>
      </c>
    </row>
    <row r="60" spans="1:29" x14ac:dyDescent="0.35">
      <c r="A60" s="8"/>
      <c r="B60" s="175"/>
      <c r="C60" s="179"/>
      <c r="D60" s="180"/>
      <c r="E60" s="181"/>
      <c r="F60" s="181"/>
      <c r="G60" s="181"/>
      <c r="H60" s="181"/>
      <c r="I60" s="181"/>
      <c r="J60" s="181"/>
      <c r="K60" s="181"/>
      <c r="L60" s="181"/>
      <c r="M60" s="181"/>
      <c r="N60" s="181"/>
      <c r="O60" s="181"/>
      <c r="P60" s="181"/>
      <c r="Q60" s="181"/>
      <c r="R60" s="181"/>
      <c r="S60" s="181"/>
      <c r="T60" s="181"/>
      <c r="U60"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60" s="182">
        <f>ACOAETME2022[[#This Row],[TOTAL Non-Truncated Unadjusted Claims Expenses]]-ACOAETME2022[[#This Row],[Total Claims Excluded because of Truncation]]</f>
        <v>0</v>
      </c>
      <c r="W60"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60" s="182">
        <f>ACOAETME2022[[#This Row],[TOTAL Non-Truncated Unadjusted Claims Expenses]]+ACOAETME2022[[#This Row],[TOTAL Non-Claims Expenses]]</f>
        <v>0</v>
      </c>
      <c r="Y60" s="182">
        <f>ACOAETME2022[[#This Row],[TOTAL Truncated Unadjusted Claims Expenses (A19 - A17)]]+ACOAETME2022[[#This Row],[TOTAL Non-Claims Expenses]]</f>
        <v>0</v>
      </c>
      <c r="Z60" s="540" t="str">
        <f>IFERROR(ACOAETME2022[[#This Row],[TOTAL Non-Truncated Unadjusted Expenses 
(A19+A21)]]/ACOAETME2022[[#This Row],[Member Months]], "NA")</f>
        <v>NA</v>
      </c>
      <c r="AA60" s="232" t="str">
        <f>IFERROR(ACOAETME2022[[#This Row],[TOTAL Truncated Unadjusted Expenses (A20+A21)]]/ACOAETME2022[[#This Row],[Member Months]], "NA")</f>
        <v>NA</v>
      </c>
      <c r="AB60" s="504">
        <f>IFERROR(ACOAETME2022[[#This Row],[Total Claims Excluded because of Truncation]]/ACOAETME2022[[#This Row],[Count of Members with Claims Truncated]], 0)</f>
        <v>0</v>
      </c>
      <c r="AC60" s="508">
        <f>IFERROR(ACOAETME2022[[#This Row],[Total Claims Excluded because of Truncation]]/ACOAETME2022[[#This Row],[TOTAL Non-Truncated Unadjusted Claims Expenses]], 0)</f>
        <v>0</v>
      </c>
    </row>
    <row r="61" spans="1:29" x14ac:dyDescent="0.35">
      <c r="A61" s="8"/>
      <c r="B61" s="175"/>
      <c r="C61" s="179"/>
      <c r="D61" s="180"/>
      <c r="E61" s="181"/>
      <c r="F61" s="181"/>
      <c r="G61" s="181"/>
      <c r="H61" s="181"/>
      <c r="I61" s="181"/>
      <c r="J61" s="181"/>
      <c r="K61" s="181"/>
      <c r="L61" s="181"/>
      <c r="M61" s="181"/>
      <c r="N61" s="181"/>
      <c r="O61" s="181"/>
      <c r="P61" s="181"/>
      <c r="Q61" s="181"/>
      <c r="R61" s="181"/>
      <c r="S61" s="181"/>
      <c r="T61" s="181"/>
      <c r="U61"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61" s="182">
        <f>ACOAETME2022[[#This Row],[TOTAL Non-Truncated Unadjusted Claims Expenses]]-ACOAETME2022[[#This Row],[Total Claims Excluded because of Truncation]]</f>
        <v>0</v>
      </c>
      <c r="W61"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61" s="182">
        <f>ACOAETME2022[[#This Row],[TOTAL Non-Truncated Unadjusted Claims Expenses]]+ACOAETME2022[[#This Row],[TOTAL Non-Claims Expenses]]</f>
        <v>0</v>
      </c>
      <c r="Y61" s="182">
        <f>ACOAETME2022[[#This Row],[TOTAL Truncated Unadjusted Claims Expenses (A19 - A17)]]+ACOAETME2022[[#This Row],[TOTAL Non-Claims Expenses]]</f>
        <v>0</v>
      </c>
      <c r="Z61" s="540" t="str">
        <f>IFERROR(ACOAETME2022[[#This Row],[TOTAL Non-Truncated Unadjusted Expenses 
(A19+A21)]]/ACOAETME2022[[#This Row],[Member Months]], "NA")</f>
        <v>NA</v>
      </c>
      <c r="AA61" s="232" t="str">
        <f>IFERROR(ACOAETME2022[[#This Row],[TOTAL Truncated Unadjusted Expenses (A20+A21)]]/ACOAETME2022[[#This Row],[Member Months]], "NA")</f>
        <v>NA</v>
      </c>
      <c r="AB61" s="504">
        <f>IFERROR(ACOAETME2022[[#This Row],[Total Claims Excluded because of Truncation]]/ACOAETME2022[[#This Row],[Count of Members with Claims Truncated]], 0)</f>
        <v>0</v>
      </c>
      <c r="AC61" s="508">
        <f>IFERROR(ACOAETME2022[[#This Row],[Total Claims Excluded because of Truncation]]/ACOAETME2022[[#This Row],[TOTAL Non-Truncated Unadjusted Claims Expenses]], 0)</f>
        <v>0</v>
      </c>
    </row>
    <row r="62" spans="1:29" x14ac:dyDescent="0.35">
      <c r="A62" s="8"/>
      <c r="B62" s="175"/>
      <c r="C62" s="179"/>
      <c r="D62" s="180"/>
      <c r="E62" s="181"/>
      <c r="F62" s="181"/>
      <c r="G62" s="181"/>
      <c r="H62" s="181"/>
      <c r="I62" s="181"/>
      <c r="J62" s="181"/>
      <c r="K62" s="181"/>
      <c r="L62" s="181"/>
      <c r="M62" s="181"/>
      <c r="N62" s="181"/>
      <c r="O62" s="181"/>
      <c r="P62" s="181"/>
      <c r="Q62" s="181"/>
      <c r="R62" s="181"/>
      <c r="S62" s="181"/>
      <c r="T62" s="181"/>
      <c r="U62"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62" s="182">
        <f>ACOAETME2022[[#This Row],[TOTAL Non-Truncated Unadjusted Claims Expenses]]-ACOAETME2022[[#This Row],[Total Claims Excluded because of Truncation]]</f>
        <v>0</v>
      </c>
      <c r="W62"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62" s="182">
        <f>ACOAETME2022[[#This Row],[TOTAL Non-Truncated Unadjusted Claims Expenses]]+ACOAETME2022[[#This Row],[TOTAL Non-Claims Expenses]]</f>
        <v>0</v>
      </c>
      <c r="Y62" s="182">
        <f>ACOAETME2022[[#This Row],[TOTAL Truncated Unadjusted Claims Expenses (A19 - A17)]]+ACOAETME2022[[#This Row],[TOTAL Non-Claims Expenses]]</f>
        <v>0</v>
      </c>
      <c r="Z62" s="540" t="str">
        <f>IFERROR(ACOAETME2022[[#This Row],[TOTAL Non-Truncated Unadjusted Expenses 
(A19+A21)]]/ACOAETME2022[[#This Row],[Member Months]], "NA")</f>
        <v>NA</v>
      </c>
      <c r="AA62" s="232" t="str">
        <f>IFERROR(ACOAETME2022[[#This Row],[TOTAL Truncated Unadjusted Expenses (A20+A21)]]/ACOAETME2022[[#This Row],[Member Months]], "NA")</f>
        <v>NA</v>
      </c>
      <c r="AB62" s="504">
        <f>IFERROR(ACOAETME2022[[#This Row],[Total Claims Excluded because of Truncation]]/ACOAETME2022[[#This Row],[Count of Members with Claims Truncated]], 0)</f>
        <v>0</v>
      </c>
      <c r="AC62" s="508">
        <f>IFERROR(ACOAETME2022[[#This Row],[Total Claims Excluded because of Truncation]]/ACOAETME2022[[#This Row],[TOTAL Non-Truncated Unadjusted Claims Expenses]], 0)</f>
        <v>0</v>
      </c>
    </row>
    <row r="63" spans="1:29" x14ac:dyDescent="0.35">
      <c r="A63" s="8"/>
      <c r="B63" s="175"/>
      <c r="C63" s="179"/>
      <c r="D63" s="180"/>
      <c r="E63" s="181"/>
      <c r="F63" s="181"/>
      <c r="G63" s="181"/>
      <c r="H63" s="181"/>
      <c r="I63" s="181"/>
      <c r="J63" s="181"/>
      <c r="K63" s="181"/>
      <c r="L63" s="181"/>
      <c r="M63" s="181"/>
      <c r="N63" s="181"/>
      <c r="O63" s="181"/>
      <c r="P63" s="181"/>
      <c r="Q63" s="181"/>
      <c r="R63" s="181"/>
      <c r="S63" s="181"/>
      <c r="T63" s="181"/>
      <c r="U63"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63" s="182">
        <f>ACOAETME2022[[#This Row],[TOTAL Non-Truncated Unadjusted Claims Expenses]]-ACOAETME2022[[#This Row],[Total Claims Excluded because of Truncation]]</f>
        <v>0</v>
      </c>
      <c r="W63"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63" s="182">
        <f>ACOAETME2022[[#This Row],[TOTAL Non-Truncated Unadjusted Claims Expenses]]+ACOAETME2022[[#This Row],[TOTAL Non-Claims Expenses]]</f>
        <v>0</v>
      </c>
      <c r="Y63" s="182">
        <f>ACOAETME2022[[#This Row],[TOTAL Truncated Unadjusted Claims Expenses (A19 - A17)]]+ACOAETME2022[[#This Row],[TOTAL Non-Claims Expenses]]</f>
        <v>0</v>
      </c>
      <c r="Z63" s="540" t="str">
        <f>IFERROR(ACOAETME2022[[#This Row],[TOTAL Non-Truncated Unadjusted Expenses 
(A19+A21)]]/ACOAETME2022[[#This Row],[Member Months]], "NA")</f>
        <v>NA</v>
      </c>
      <c r="AA63" s="232" t="str">
        <f>IFERROR(ACOAETME2022[[#This Row],[TOTAL Truncated Unadjusted Expenses (A20+A21)]]/ACOAETME2022[[#This Row],[Member Months]], "NA")</f>
        <v>NA</v>
      </c>
      <c r="AB63" s="504">
        <f>IFERROR(ACOAETME2022[[#This Row],[Total Claims Excluded because of Truncation]]/ACOAETME2022[[#This Row],[Count of Members with Claims Truncated]], 0)</f>
        <v>0</v>
      </c>
      <c r="AC63" s="508">
        <f>IFERROR(ACOAETME2022[[#This Row],[Total Claims Excluded because of Truncation]]/ACOAETME2022[[#This Row],[TOTAL Non-Truncated Unadjusted Claims Expenses]], 0)</f>
        <v>0</v>
      </c>
    </row>
    <row r="64" spans="1:29" x14ac:dyDescent="0.35">
      <c r="A64" s="8"/>
      <c r="B64" s="175"/>
      <c r="C64" s="179"/>
      <c r="D64" s="180"/>
      <c r="E64" s="181"/>
      <c r="F64" s="181"/>
      <c r="G64" s="181"/>
      <c r="H64" s="181"/>
      <c r="I64" s="181"/>
      <c r="J64" s="181"/>
      <c r="K64" s="181"/>
      <c r="L64" s="181"/>
      <c r="M64" s="181"/>
      <c r="N64" s="181"/>
      <c r="O64" s="181"/>
      <c r="P64" s="181"/>
      <c r="Q64" s="181"/>
      <c r="R64" s="181"/>
      <c r="S64" s="181"/>
      <c r="T64" s="181"/>
      <c r="U64"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64" s="182">
        <f>ACOAETME2022[[#This Row],[TOTAL Non-Truncated Unadjusted Claims Expenses]]-ACOAETME2022[[#This Row],[Total Claims Excluded because of Truncation]]</f>
        <v>0</v>
      </c>
      <c r="W64"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64" s="182">
        <f>ACOAETME2022[[#This Row],[TOTAL Non-Truncated Unadjusted Claims Expenses]]+ACOAETME2022[[#This Row],[TOTAL Non-Claims Expenses]]</f>
        <v>0</v>
      </c>
      <c r="Y64" s="182">
        <f>ACOAETME2022[[#This Row],[TOTAL Truncated Unadjusted Claims Expenses (A19 - A17)]]+ACOAETME2022[[#This Row],[TOTAL Non-Claims Expenses]]</f>
        <v>0</v>
      </c>
      <c r="Z64" s="540" t="str">
        <f>IFERROR(ACOAETME2022[[#This Row],[TOTAL Non-Truncated Unadjusted Expenses 
(A19+A21)]]/ACOAETME2022[[#This Row],[Member Months]], "NA")</f>
        <v>NA</v>
      </c>
      <c r="AA64" s="232" t="str">
        <f>IFERROR(ACOAETME2022[[#This Row],[TOTAL Truncated Unadjusted Expenses (A20+A21)]]/ACOAETME2022[[#This Row],[Member Months]], "NA")</f>
        <v>NA</v>
      </c>
      <c r="AB64" s="504">
        <f>IFERROR(ACOAETME2022[[#This Row],[Total Claims Excluded because of Truncation]]/ACOAETME2022[[#This Row],[Count of Members with Claims Truncated]], 0)</f>
        <v>0</v>
      </c>
      <c r="AC64" s="508">
        <f>IFERROR(ACOAETME2022[[#This Row],[Total Claims Excluded because of Truncation]]/ACOAETME2022[[#This Row],[TOTAL Non-Truncated Unadjusted Claims Expenses]], 0)</f>
        <v>0</v>
      </c>
    </row>
    <row r="65" spans="1:29" x14ac:dyDescent="0.35">
      <c r="A65" s="8"/>
      <c r="B65" s="175"/>
      <c r="C65" s="179"/>
      <c r="D65" s="180"/>
      <c r="E65" s="181"/>
      <c r="F65" s="181"/>
      <c r="G65" s="181"/>
      <c r="H65" s="181"/>
      <c r="I65" s="181"/>
      <c r="J65" s="181"/>
      <c r="K65" s="181"/>
      <c r="L65" s="181"/>
      <c r="M65" s="181"/>
      <c r="N65" s="181"/>
      <c r="O65" s="181"/>
      <c r="P65" s="181"/>
      <c r="Q65" s="181"/>
      <c r="R65" s="181"/>
      <c r="S65" s="181"/>
      <c r="T65" s="181"/>
      <c r="U65"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65" s="182">
        <f>ACOAETME2022[[#This Row],[TOTAL Non-Truncated Unadjusted Claims Expenses]]-ACOAETME2022[[#This Row],[Total Claims Excluded because of Truncation]]</f>
        <v>0</v>
      </c>
      <c r="W65"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65" s="182">
        <f>ACOAETME2022[[#This Row],[TOTAL Non-Truncated Unadjusted Claims Expenses]]+ACOAETME2022[[#This Row],[TOTAL Non-Claims Expenses]]</f>
        <v>0</v>
      </c>
      <c r="Y65" s="182">
        <f>ACOAETME2022[[#This Row],[TOTAL Truncated Unadjusted Claims Expenses (A19 - A17)]]+ACOAETME2022[[#This Row],[TOTAL Non-Claims Expenses]]</f>
        <v>0</v>
      </c>
      <c r="Z65" s="540" t="str">
        <f>IFERROR(ACOAETME2022[[#This Row],[TOTAL Non-Truncated Unadjusted Expenses 
(A19+A21)]]/ACOAETME2022[[#This Row],[Member Months]], "NA")</f>
        <v>NA</v>
      </c>
      <c r="AA65" s="232" t="str">
        <f>IFERROR(ACOAETME2022[[#This Row],[TOTAL Truncated Unadjusted Expenses (A20+A21)]]/ACOAETME2022[[#This Row],[Member Months]], "NA")</f>
        <v>NA</v>
      </c>
      <c r="AB65" s="504">
        <f>IFERROR(ACOAETME2022[[#This Row],[Total Claims Excluded because of Truncation]]/ACOAETME2022[[#This Row],[Count of Members with Claims Truncated]], 0)</f>
        <v>0</v>
      </c>
      <c r="AC65" s="508">
        <f>IFERROR(ACOAETME2022[[#This Row],[Total Claims Excluded because of Truncation]]/ACOAETME2022[[#This Row],[TOTAL Non-Truncated Unadjusted Claims Expenses]], 0)</f>
        <v>0</v>
      </c>
    </row>
    <row r="66" spans="1:29" x14ac:dyDescent="0.35">
      <c r="A66" s="8"/>
      <c r="B66" s="175"/>
      <c r="C66" s="179"/>
      <c r="D66" s="180"/>
      <c r="E66" s="181"/>
      <c r="F66" s="181"/>
      <c r="G66" s="181"/>
      <c r="H66" s="181"/>
      <c r="I66" s="181"/>
      <c r="J66" s="181"/>
      <c r="K66" s="181"/>
      <c r="L66" s="181"/>
      <c r="M66" s="181"/>
      <c r="N66" s="181"/>
      <c r="O66" s="181"/>
      <c r="P66" s="181"/>
      <c r="Q66" s="181"/>
      <c r="R66" s="181"/>
      <c r="S66" s="181"/>
      <c r="T66" s="181"/>
      <c r="U66"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66" s="182">
        <f>ACOAETME2022[[#This Row],[TOTAL Non-Truncated Unadjusted Claims Expenses]]-ACOAETME2022[[#This Row],[Total Claims Excluded because of Truncation]]</f>
        <v>0</v>
      </c>
      <c r="W66"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66" s="182">
        <f>ACOAETME2022[[#This Row],[TOTAL Non-Truncated Unadjusted Claims Expenses]]+ACOAETME2022[[#This Row],[TOTAL Non-Claims Expenses]]</f>
        <v>0</v>
      </c>
      <c r="Y66" s="182">
        <f>ACOAETME2022[[#This Row],[TOTAL Truncated Unadjusted Claims Expenses (A19 - A17)]]+ACOAETME2022[[#This Row],[TOTAL Non-Claims Expenses]]</f>
        <v>0</v>
      </c>
      <c r="Z66" s="540" t="str">
        <f>IFERROR(ACOAETME2022[[#This Row],[TOTAL Non-Truncated Unadjusted Expenses 
(A19+A21)]]/ACOAETME2022[[#This Row],[Member Months]], "NA")</f>
        <v>NA</v>
      </c>
      <c r="AA66" s="232" t="str">
        <f>IFERROR(ACOAETME2022[[#This Row],[TOTAL Truncated Unadjusted Expenses (A20+A21)]]/ACOAETME2022[[#This Row],[Member Months]], "NA")</f>
        <v>NA</v>
      </c>
      <c r="AB66" s="504">
        <f>IFERROR(ACOAETME2022[[#This Row],[Total Claims Excluded because of Truncation]]/ACOAETME2022[[#This Row],[Count of Members with Claims Truncated]], 0)</f>
        <v>0</v>
      </c>
      <c r="AC66" s="508">
        <f>IFERROR(ACOAETME2022[[#This Row],[Total Claims Excluded because of Truncation]]/ACOAETME2022[[#This Row],[TOTAL Non-Truncated Unadjusted Claims Expenses]], 0)</f>
        <v>0</v>
      </c>
    </row>
    <row r="67" spans="1:29" x14ac:dyDescent="0.35">
      <c r="A67" s="8"/>
      <c r="B67" s="175"/>
      <c r="C67" s="179"/>
      <c r="D67" s="180"/>
      <c r="E67" s="181"/>
      <c r="F67" s="181"/>
      <c r="G67" s="181"/>
      <c r="H67" s="181"/>
      <c r="I67" s="181"/>
      <c r="J67" s="181"/>
      <c r="K67" s="181"/>
      <c r="L67" s="181"/>
      <c r="M67" s="181"/>
      <c r="N67" s="181"/>
      <c r="O67" s="181"/>
      <c r="P67" s="181"/>
      <c r="Q67" s="181"/>
      <c r="R67" s="181"/>
      <c r="S67" s="181"/>
      <c r="T67" s="181"/>
      <c r="U67"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67" s="182">
        <f>ACOAETME2022[[#This Row],[TOTAL Non-Truncated Unadjusted Claims Expenses]]-ACOAETME2022[[#This Row],[Total Claims Excluded because of Truncation]]</f>
        <v>0</v>
      </c>
      <c r="W67"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67" s="182">
        <f>ACOAETME2022[[#This Row],[TOTAL Non-Truncated Unadjusted Claims Expenses]]+ACOAETME2022[[#This Row],[TOTAL Non-Claims Expenses]]</f>
        <v>0</v>
      </c>
      <c r="Y67" s="182">
        <f>ACOAETME2022[[#This Row],[TOTAL Truncated Unadjusted Claims Expenses (A19 - A17)]]+ACOAETME2022[[#This Row],[TOTAL Non-Claims Expenses]]</f>
        <v>0</v>
      </c>
      <c r="Z67" s="540" t="str">
        <f>IFERROR(ACOAETME2022[[#This Row],[TOTAL Non-Truncated Unadjusted Expenses 
(A19+A21)]]/ACOAETME2022[[#This Row],[Member Months]], "NA")</f>
        <v>NA</v>
      </c>
      <c r="AA67" s="232" t="str">
        <f>IFERROR(ACOAETME2022[[#This Row],[TOTAL Truncated Unadjusted Expenses (A20+A21)]]/ACOAETME2022[[#This Row],[Member Months]], "NA")</f>
        <v>NA</v>
      </c>
      <c r="AB67" s="504">
        <f>IFERROR(ACOAETME2022[[#This Row],[Total Claims Excluded because of Truncation]]/ACOAETME2022[[#This Row],[Count of Members with Claims Truncated]], 0)</f>
        <v>0</v>
      </c>
      <c r="AC67" s="508">
        <f>IFERROR(ACOAETME2022[[#This Row],[Total Claims Excluded because of Truncation]]/ACOAETME2022[[#This Row],[TOTAL Non-Truncated Unadjusted Claims Expenses]], 0)</f>
        <v>0</v>
      </c>
    </row>
    <row r="68" spans="1:29" x14ac:dyDescent="0.35">
      <c r="A68" s="8"/>
      <c r="B68" s="175"/>
      <c r="C68" s="179"/>
      <c r="D68" s="180"/>
      <c r="E68" s="181"/>
      <c r="F68" s="181"/>
      <c r="G68" s="181"/>
      <c r="H68" s="181"/>
      <c r="I68" s="181"/>
      <c r="J68" s="181"/>
      <c r="K68" s="181"/>
      <c r="L68" s="181"/>
      <c r="M68" s="181"/>
      <c r="N68" s="181"/>
      <c r="O68" s="181"/>
      <c r="P68" s="181"/>
      <c r="Q68" s="181"/>
      <c r="R68" s="181"/>
      <c r="S68" s="181"/>
      <c r="T68" s="181"/>
      <c r="U68"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68" s="182">
        <f>ACOAETME2022[[#This Row],[TOTAL Non-Truncated Unadjusted Claims Expenses]]-ACOAETME2022[[#This Row],[Total Claims Excluded because of Truncation]]</f>
        <v>0</v>
      </c>
      <c r="W68"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68" s="182">
        <f>ACOAETME2022[[#This Row],[TOTAL Non-Truncated Unadjusted Claims Expenses]]+ACOAETME2022[[#This Row],[TOTAL Non-Claims Expenses]]</f>
        <v>0</v>
      </c>
      <c r="Y68" s="182">
        <f>ACOAETME2022[[#This Row],[TOTAL Truncated Unadjusted Claims Expenses (A19 - A17)]]+ACOAETME2022[[#This Row],[TOTAL Non-Claims Expenses]]</f>
        <v>0</v>
      </c>
      <c r="Z68" s="540" t="str">
        <f>IFERROR(ACOAETME2022[[#This Row],[TOTAL Non-Truncated Unadjusted Expenses 
(A19+A21)]]/ACOAETME2022[[#This Row],[Member Months]], "NA")</f>
        <v>NA</v>
      </c>
      <c r="AA68" s="232" t="str">
        <f>IFERROR(ACOAETME2022[[#This Row],[TOTAL Truncated Unadjusted Expenses (A20+A21)]]/ACOAETME2022[[#This Row],[Member Months]], "NA")</f>
        <v>NA</v>
      </c>
      <c r="AB68" s="504">
        <f>IFERROR(ACOAETME2022[[#This Row],[Total Claims Excluded because of Truncation]]/ACOAETME2022[[#This Row],[Count of Members with Claims Truncated]], 0)</f>
        <v>0</v>
      </c>
      <c r="AC68" s="508">
        <f>IFERROR(ACOAETME2022[[#This Row],[Total Claims Excluded because of Truncation]]/ACOAETME2022[[#This Row],[TOTAL Non-Truncated Unadjusted Claims Expenses]], 0)</f>
        <v>0</v>
      </c>
    </row>
    <row r="69" spans="1:29" x14ac:dyDescent="0.35">
      <c r="A69" s="8"/>
      <c r="B69" s="175"/>
      <c r="C69" s="179"/>
      <c r="D69" s="180"/>
      <c r="E69" s="181"/>
      <c r="F69" s="181"/>
      <c r="G69" s="181"/>
      <c r="H69" s="181"/>
      <c r="I69" s="181"/>
      <c r="J69" s="181"/>
      <c r="K69" s="181"/>
      <c r="L69" s="181"/>
      <c r="M69" s="181"/>
      <c r="N69" s="181"/>
      <c r="O69" s="181"/>
      <c r="P69" s="181"/>
      <c r="Q69" s="181"/>
      <c r="R69" s="181"/>
      <c r="S69" s="181"/>
      <c r="T69" s="181"/>
      <c r="U69"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69" s="182">
        <f>ACOAETME2022[[#This Row],[TOTAL Non-Truncated Unadjusted Claims Expenses]]-ACOAETME2022[[#This Row],[Total Claims Excluded because of Truncation]]</f>
        <v>0</v>
      </c>
      <c r="W69"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69" s="182">
        <f>ACOAETME2022[[#This Row],[TOTAL Non-Truncated Unadjusted Claims Expenses]]+ACOAETME2022[[#This Row],[TOTAL Non-Claims Expenses]]</f>
        <v>0</v>
      </c>
      <c r="Y69" s="182">
        <f>ACOAETME2022[[#This Row],[TOTAL Truncated Unadjusted Claims Expenses (A19 - A17)]]+ACOAETME2022[[#This Row],[TOTAL Non-Claims Expenses]]</f>
        <v>0</v>
      </c>
      <c r="Z69" s="540" t="str">
        <f>IFERROR(ACOAETME2022[[#This Row],[TOTAL Non-Truncated Unadjusted Expenses 
(A19+A21)]]/ACOAETME2022[[#This Row],[Member Months]], "NA")</f>
        <v>NA</v>
      </c>
      <c r="AA69" s="232" t="str">
        <f>IFERROR(ACOAETME2022[[#This Row],[TOTAL Truncated Unadjusted Expenses (A20+A21)]]/ACOAETME2022[[#This Row],[Member Months]], "NA")</f>
        <v>NA</v>
      </c>
      <c r="AB69" s="504">
        <f>IFERROR(ACOAETME2022[[#This Row],[Total Claims Excluded because of Truncation]]/ACOAETME2022[[#This Row],[Count of Members with Claims Truncated]], 0)</f>
        <v>0</v>
      </c>
      <c r="AC69" s="508">
        <f>IFERROR(ACOAETME2022[[#This Row],[Total Claims Excluded because of Truncation]]/ACOAETME2022[[#This Row],[TOTAL Non-Truncated Unadjusted Claims Expenses]], 0)</f>
        <v>0</v>
      </c>
    </row>
    <row r="70" spans="1:29" x14ac:dyDescent="0.35">
      <c r="A70" s="8"/>
      <c r="B70" s="175"/>
      <c r="C70" s="179"/>
      <c r="D70" s="180"/>
      <c r="E70" s="181"/>
      <c r="F70" s="181"/>
      <c r="G70" s="181"/>
      <c r="H70" s="181"/>
      <c r="I70" s="181"/>
      <c r="J70" s="181"/>
      <c r="K70" s="181"/>
      <c r="L70" s="181"/>
      <c r="M70" s="181"/>
      <c r="N70" s="181"/>
      <c r="O70" s="181"/>
      <c r="P70" s="181"/>
      <c r="Q70" s="181"/>
      <c r="R70" s="181"/>
      <c r="S70" s="181"/>
      <c r="T70" s="181"/>
      <c r="U70"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70" s="182">
        <f>ACOAETME2022[[#This Row],[TOTAL Non-Truncated Unadjusted Claims Expenses]]-ACOAETME2022[[#This Row],[Total Claims Excluded because of Truncation]]</f>
        <v>0</v>
      </c>
      <c r="W70"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70" s="182">
        <f>ACOAETME2022[[#This Row],[TOTAL Non-Truncated Unadjusted Claims Expenses]]+ACOAETME2022[[#This Row],[TOTAL Non-Claims Expenses]]</f>
        <v>0</v>
      </c>
      <c r="Y70" s="182">
        <f>ACOAETME2022[[#This Row],[TOTAL Truncated Unadjusted Claims Expenses (A19 - A17)]]+ACOAETME2022[[#This Row],[TOTAL Non-Claims Expenses]]</f>
        <v>0</v>
      </c>
      <c r="Z70" s="540" t="str">
        <f>IFERROR(ACOAETME2022[[#This Row],[TOTAL Non-Truncated Unadjusted Expenses 
(A19+A21)]]/ACOAETME2022[[#This Row],[Member Months]], "NA")</f>
        <v>NA</v>
      </c>
      <c r="AA70" s="232" t="str">
        <f>IFERROR(ACOAETME2022[[#This Row],[TOTAL Truncated Unadjusted Expenses (A20+A21)]]/ACOAETME2022[[#This Row],[Member Months]], "NA")</f>
        <v>NA</v>
      </c>
      <c r="AB70" s="504">
        <f>IFERROR(ACOAETME2022[[#This Row],[Total Claims Excluded because of Truncation]]/ACOAETME2022[[#This Row],[Count of Members with Claims Truncated]], 0)</f>
        <v>0</v>
      </c>
      <c r="AC70" s="508">
        <f>IFERROR(ACOAETME2022[[#This Row],[Total Claims Excluded because of Truncation]]/ACOAETME2022[[#This Row],[TOTAL Non-Truncated Unadjusted Claims Expenses]], 0)</f>
        <v>0</v>
      </c>
    </row>
    <row r="71" spans="1:29" x14ac:dyDescent="0.35">
      <c r="A71" s="8"/>
      <c r="B71" s="175"/>
      <c r="C71" s="179"/>
      <c r="D71" s="180"/>
      <c r="E71" s="181"/>
      <c r="F71" s="181"/>
      <c r="G71" s="181"/>
      <c r="H71" s="181"/>
      <c r="I71" s="181"/>
      <c r="J71" s="181"/>
      <c r="K71" s="181"/>
      <c r="L71" s="181"/>
      <c r="M71" s="181"/>
      <c r="N71" s="181"/>
      <c r="O71" s="181"/>
      <c r="P71" s="181"/>
      <c r="Q71" s="181"/>
      <c r="R71" s="181"/>
      <c r="S71" s="181"/>
      <c r="T71" s="181"/>
      <c r="U71"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71" s="182">
        <f>ACOAETME2022[[#This Row],[TOTAL Non-Truncated Unadjusted Claims Expenses]]-ACOAETME2022[[#This Row],[Total Claims Excluded because of Truncation]]</f>
        <v>0</v>
      </c>
      <c r="W71"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71" s="182">
        <f>ACOAETME2022[[#This Row],[TOTAL Non-Truncated Unadjusted Claims Expenses]]+ACOAETME2022[[#This Row],[TOTAL Non-Claims Expenses]]</f>
        <v>0</v>
      </c>
      <c r="Y71" s="182">
        <f>ACOAETME2022[[#This Row],[TOTAL Truncated Unadjusted Claims Expenses (A19 - A17)]]+ACOAETME2022[[#This Row],[TOTAL Non-Claims Expenses]]</f>
        <v>0</v>
      </c>
      <c r="Z71" s="540" t="str">
        <f>IFERROR(ACOAETME2022[[#This Row],[TOTAL Non-Truncated Unadjusted Expenses 
(A19+A21)]]/ACOAETME2022[[#This Row],[Member Months]], "NA")</f>
        <v>NA</v>
      </c>
      <c r="AA71" s="232" t="str">
        <f>IFERROR(ACOAETME2022[[#This Row],[TOTAL Truncated Unadjusted Expenses (A20+A21)]]/ACOAETME2022[[#This Row],[Member Months]], "NA")</f>
        <v>NA</v>
      </c>
      <c r="AB71" s="504">
        <f>IFERROR(ACOAETME2022[[#This Row],[Total Claims Excluded because of Truncation]]/ACOAETME2022[[#This Row],[Count of Members with Claims Truncated]], 0)</f>
        <v>0</v>
      </c>
      <c r="AC71" s="508">
        <f>IFERROR(ACOAETME2022[[#This Row],[Total Claims Excluded because of Truncation]]/ACOAETME2022[[#This Row],[TOTAL Non-Truncated Unadjusted Claims Expenses]], 0)</f>
        <v>0</v>
      </c>
    </row>
    <row r="72" spans="1:29" x14ac:dyDescent="0.35">
      <c r="A72" s="8"/>
      <c r="B72" s="175"/>
      <c r="C72" s="179"/>
      <c r="D72" s="180"/>
      <c r="E72" s="181"/>
      <c r="F72" s="181"/>
      <c r="G72" s="181"/>
      <c r="H72" s="181"/>
      <c r="I72" s="181"/>
      <c r="J72" s="181"/>
      <c r="K72" s="181"/>
      <c r="L72" s="181"/>
      <c r="M72" s="181"/>
      <c r="N72" s="181"/>
      <c r="O72" s="181"/>
      <c r="P72" s="181"/>
      <c r="Q72" s="181"/>
      <c r="R72" s="181"/>
      <c r="S72" s="181"/>
      <c r="T72" s="181"/>
      <c r="U72"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72" s="182">
        <f>ACOAETME2022[[#This Row],[TOTAL Non-Truncated Unadjusted Claims Expenses]]-ACOAETME2022[[#This Row],[Total Claims Excluded because of Truncation]]</f>
        <v>0</v>
      </c>
      <c r="W72"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72" s="182">
        <f>ACOAETME2022[[#This Row],[TOTAL Non-Truncated Unadjusted Claims Expenses]]+ACOAETME2022[[#This Row],[TOTAL Non-Claims Expenses]]</f>
        <v>0</v>
      </c>
      <c r="Y72" s="182">
        <f>ACOAETME2022[[#This Row],[TOTAL Truncated Unadjusted Claims Expenses (A19 - A17)]]+ACOAETME2022[[#This Row],[TOTAL Non-Claims Expenses]]</f>
        <v>0</v>
      </c>
      <c r="Z72" s="540" t="str">
        <f>IFERROR(ACOAETME2022[[#This Row],[TOTAL Non-Truncated Unadjusted Expenses 
(A19+A21)]]/ACOAETME2022[[#This Row],[Member Months]], "NA")</f>
        <v>NA</v>
      </c>
      <c r="AA72" s="232" t="str">
        <f>IFERROR(ACOAETME2022[[#This Row],[TOTAL Truncated Unadjusted Expenses (A20+A21)]]/ACOAETME2022[[#This Row],[Member Months]], "NA")</f>
        <v>NA</v>
      </c>
      <c r="AB72" s="504">
        <f>IFERROR(ACOAETME2022[[#This Row],[Total Claims Excluded because of Truncation]]/ACOAETME2022[[#This Row],[Count of Members with Claims Truncated]], 0)</f>
        <v>0</v>
      </c>
      <c r="AC72" s="508">
        <f>IFERROR(ACOAETME2022[[#This Row],[Total Claims Excluded because of Truncation]]/ACOAETME2022[[#This Row],[TOTAL Non-Truncated Unadjusted Claims Expenses]], 0)</f>
        <v>0</v>
      </c>
    </row>
    <row r="73" spans="1:29" x14ac:dyDescent="0.35">
      <c r="A73" s="8"/>
      <c r="B73" s="175"/>
      <c r="C73" s="179"/>
      <c r="D73" s="180"/>
      <c r="E73" s="181"/>
      <c r="F73" s="181"/>
      <c r="G73" s="181"/>
      <c r="H73" s="181"/>
      <c r="I73" s="181"/>
      <c r="J73" s="181"/>
      <c r="K73" s="181"/>
      <c r="L73" s="181"/>
      <c r="M73" s="181"/>
      <c r="N73" s="181"/>
      <c r="O73" s="181"/>
      <c r="P73" s="181"/>
      <c r="Q73" s="181"/>
      <c r="R73" s="181"/>
      <c r="S73" s="181"/>
      <c r="T73" s="181"/>
      <c r="U73"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73" s="182">
        <f>ACOAETME2022[[#This Row],[TOTAL Non-Truncated Unadjusted Claims Expenses]]-ACOAETME2022[[#This Row],[Total Claims Excluded because of Truncation]]</f>
        <v>0</v>
      </c>
      <c r="W73"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73" s="182">
        <f>ACOAETME2022[[#This Row],[TOTAL Non-Truncated Unadjusted Claims Expenses]]+ACOAETME2022[[#This Row],[TOTAL Non-Claims Expenses]]</f>
        <v>0</v>
      </c>
      <c r="Y73" s="182">
        <f>ACOAETME2022[[#This Row],[TOTAL Truncated Unadjusted Claims Expenses (A19 - A17)]]+ACOAETME2022[[#This Row],[TOTAL Non-Claims Expenses]]</f>
        <v>0</v>
      </c>
      <c r="Z73" s="540" t="str">
        <f>IFERROR(ACOAETME2022[[#This Row],[TOTAL Non-Truncated Unadjusted Expenses 
(A19+A21)]]/ACOAETME2022[[#This Row],[Member Months]], "NA")</f>
        <v>NA</v>
      </c>
      <c r="AA73" s="232" t="str">
        <f>IFERROR(ACOAETME2022[[#This Row],[TOTAL Truncated Unadjusted Expenses (A20+A21)]]/ACOAETME2022[[#This Row],[Member Months]], "NA")</f>
        <v>NA</v>
      </c>
      <c r="AB73" s="504">
        <f>IFERROR(ACOAETME2022[[#This Row],[Total Claims Excluded because of Truncation]]/ACOAETME2022[[#This Row],[Count of Members with Claims Truncated]], 0)</f>
        <v>0</v>
      </c>
      <c r="AC73" s="508">
        <f>IFERROR(ACOAETME2022[[#This Row],[Total Claims Excluded because of Truncation]]/ACOAETME2022[[#This Row],[TOTAL Non-Truncated Unadjusted Claims Expenses]], 0)</f>
        <v>0</v>
      </c>
    </row>
    <row r="74" spans="1:29" x14ac:dyDescent="0.35">
      <c r="A74" s="8"/>
      <c r="B74" s="175"/>
      <c r="C74" s="179"/>
      <c r="D74" s="180"/>
      <c r="E74" s="181"/>
      <c r="F74" s="181"/>
      <c r="G74" s="181"/>
      <c r="H74" s="181"/>
      <c r="I74" s="181"/>
      <c r="J74" s="181"/>
      <c r="K74" s="181"/>
      <c r="L74" s="181"/>
      <c r="M74" s="181"/>
      <c r="N74" s="181"/>
      <c r="O74" s="181"/>
      <c r="P74" s="181"/>
      <c r="Q74" s="181"/>
      <c r="R74" s="181"/>
      <c r="S74" s="181"/>
      <c r="T74" s="181"/>
      <c r="U74"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74" s="182">
        <f>ACOAETME2022[[#This Row],[TOTAL Non-Truncated Unadjusted Claims Expenses]]-ACOAETME2022[[#This Row],[Total Claims Excluded because of Truncation]]</f>
        <v>0</v>
      </c>
      <c r="W74"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74" s="182">
        <f>ACOAETME2022[[#This Row],[TOTAL Non-Truncated Unadjusted Claims Expenses]]+ACOAETME2022[[#This Row],[TOTAL Non-Claims Expenses]]</f>
        <v>0</v>
      </c>
      <c r="Y74" s="182">
        <f>ACOAETME2022[[#This Row],[TOTAL Truncated Unadjusted Claims Expenses (A19 - A17)]]+ACOAETME2022[[#This Row],[TOTAL Non-Claims Expenses]]</f>
        <v>0</v>
      </c>
      <c r="Z74" s="540" t="str">
        <f>IFERROR(ACOAETME2022[[#This Row],[TOTAL Non-Truncated Unadjusted Expenses 
(A19+A21)]]/ACOAETME2022[[#This Row],[Member Months]], "NA")</f>
        <v>NA</v>
      </c>
      <c r="AA74" s="232" t="str">
        <f>IFERROR(ACOAETME2022[[#This Row],[TOTAL Truncated Unadjusted Expenses (A20+A21)]]/ACOAETME2022[[#This Row],[Member Months]], "NA")</f>
        <v>NA</v>
      </c>
      <c r="AB74" s="504">
        <f>IFERROR(ACOAETME2022[[#This Row],[Total Claims Excluded because of Truncation]]/ACOAETME2022[[#This Row],[Count of Members with Claims Truncated]], 0)</f>
        <v>0</v>
      </c>
      <c r="AC74" s="508">
        <f>IFERROR(ACOAETME2022[[#This Row],[Total Claims Excluded because of Truncation]]/ACOAETME2022[[#This Row],[TOTAL Non-Truncated Unadjusted Claims Expenses]], 0)</f>
        <v>0</v>
      </c>
    </row>
    <row r="75" spans="1:29" x14ac:dyDescent="0.35">
      <c r="A75" s="8"/>
      <c r="B75" s="175"/>
      <c r="C75" s="179"/>
      <c r="D75" s="180"/>
      <c r="E75" s="181"/>
      <c r="F75" s="181"/>
      <c r="G75" s="181"/>
      <c r="H75" s="181"/>
      <c r="I75" s="181"/>
      <c r="J75" s="181"/>
      <c r="K75" s="181"/>
      <c r="L75" s="181"/>
      <c r="M75" s="181"/>
      <c r="N75" s="181"/>
      <c r="O75" s="181"/>
      <c r="P75" s="181"/>
      <c r="Q75" s="181"/>
      <c r="R75" s="181"/>
      <c r="S75" s="181"/>
      <c r="T75" s="181"/>
      <c r="U75"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75" s="182">
        <f>ACOAETME2022[[#This Row],[TOTAL Non-Truncated Unadjusted Claims Expenses]]-ACOAETME2022[[#This Row],[Total Claims Excluded because of Truncation]]</f>
        <v>0</v>
      </c>
      <c r="W75"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75" s="182">
        <f>ACOAETME2022[[#This Row],[TOTAL Non-Truncated Unadjusted Claims Expenses]]+ACOAETME2022[[#This Row],[TOTAL Non-Claims Expenses]]</f>
        <v>0</v>
      </c>
      <c r="Y75" s="182">
        <f>ACOAETME2022[[#This Row],[TOTAL Truncated Unadjusted Claims Expenses (A19 - A17)]]+ACOAETME2022[[#This Row],[TOTAL Non-Claims Expenses]]</f>
        <v>0</v>
      </c>
      <c r="Z75" s="540" t="str">
        <f>IFERROR(ACOAETME2022[[#This Row],[TOTAL Non-Truncated Unadjusted Expenses 
(A19+A21)]]/ACOAETME2022[[#This Row],[Member Months]], "NA")</f>
        <v>NA</v>
      </c>
      <c r="AA75" s="232" t="str">
        <f>IFERROR(ACOAETME2022[[#This Row],[TOTAL Truncated Unadjusted Expenses (A20+A21)]]/ACOAETME2022[[#This Row],[Member Months]], "NA")</f>
        <v>NA</v>
      </c>
      <c r="AB75" s="504">
        <f>IFERROR(ACOAETME2022[[#This Row],[Total Claims Excluded because of Truncation]]/ACOAETME2022[[#This Row],[Count of Members with Claims Truncated]], 0)</f>
        <v>0</v>
      </c>
      <c r="AC75" s="508">
        <f>IFERROR(ACOAETME2022[[#This Row],[Total Claims Excluded because of Truncation]]/ACOAETME2022[[#This Row],[TOTAL Non-Truncated Unadjusted Claims Expenses]], 0)</f>
        <v>0</v>
      </c>
    </row>
    <row r="76" spans="1:29" x14ac:dyDescent="0.35">
      <c r="A76" s="8"/>
      <c r="B76" s="175"/>
      <c r="C76" s="179"/>
      <c r="D76" s="180"/>
      <c r="E76" s="181"/>
      <c r="F76" s="181"/>
      <c r="G76" s="181"/>
      <c r="H76" s="181"/>
      <c r="I76" s="181"/>
      <c r="J76" s="181"/>
      <c r="K76" s="181"/>
      <c r="L76" s="181"/>
      <c r="M76" s="181"/>
      <c r="N76" s="181"/>
      <c r="O76" s="181"/>
      <c r="P76" s="181"/>
      <c r="Q76" s="181"/>
      <c r="R76" s="181"/>
      <c r="S76" s="181"/>
      <c r="T76" s="181"/>
      <c r="U76"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76" s="182">
        <f>ACOAETME2022[[#This Row],[TOTAL Non-Truncated Unadjusted Claims Expenses]]-ACOAETME2022[[#This Row],[Total Claims Excluded because of Truncation]]</f>
        <v>0</v>
      </c>
      <c r="W76"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76" s="182">
        <f>ACOAETME2022[[#This Row],[TOTAL Non-Truncated Unadjusted Claims Expenses]]+ACOAETME2022[[#This Row],[TOTAL Non-Claims Expenses]]</f>
        <v>0</v>
      </c>
      <c r="Y76" s="182">
        <f>ACOAETME2022[[#This Row],[TOTAL Truncated Unadjusted Claims Expenses (A19 - A17)]]+ACOAETME2022[[#This Row],[TOTAL Non-Claims Expenses]]</f>
        <v>0</v>
      </c>
      <c r="Z76" s="540" t="str">
        <f>IFERROR(ACOAETME2022[[#This Row],[TOTAL Non-Truncated Unadjusted Expenses 
(A19+A21)]]/ACOAETME2022[[#This Row],[Member Months]], "NA")</f>
        <v>NA</v>
      </c>
      <c r="AA76" s="232" t="str">
        <f>IFERROR(ACOAETME2022[[#This Row],[TOTAL Truncated Unadjusted Expenses (A20+A21)]]/ACOAETME2022[[#This Row],[Member Months]], "NA")</f>
        <v>NA</v>
      </c>
      <c r="AB76" s="504">
        <f>IFERROR(ACOAETME2022[[#This Row],[Total Claims Excluded because of Truncation]]/ACOAETME2022[[#This Row],[Count of Members with Claims Truncated]], 0)</f>
        <v>0</v>
      </c>
      <c r="AC76" s="508">
        <f>IFERROR(ACOAETME2022[[#This Row],[Total Claims Excluded because of Truncation]]/ACOAETME2022[[#This Row],[TOTAL Non-Truncated Unadjusted Claims Expenses]], 0)</f>
        <v>0</v>
      </c>
    </row>
    <row r="77" spans="1:29" x14ac:dyDescent="0.35">
      <c r="A77" s="8"/>
      <c r="B77" s="175"/>
      <c r="C77" s="179"/>
      <c r="D77" s="180"/>
      <c r="E77" s="181"/>
      <c r="F77" s="181"/>
      <c r="G77" s="181"/>
      <c r="H77" s="181"/>
      <c r="I77" s="181"/>
      <c r="J77" s="181"/>
      <c r="K77" s="181"/>
      <c r="L77" s="181"/>
      <c r="M77" s="181"/>
      <c r="N77" s="181"/>
      <c r="O77" s="181"/>
      <c r="P77" s="181"/>
      <c r="Q77" s="181"/>
      <c r="R77" s="181"/>
      <c r="S77" s="181"/>
      <c r="T77" s="181"/>
      <c r="U77"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77" s="182">
        <f>ACOAETME2022[[#This Row],[TOTAL Non-Truncated Unadjusted Claims Expenses]]-ACOAETME2022[[#This Row],[Total Claims Excluded because of Truncation]]</f>
        <v>0</v>
      </c>
      <c r="W77"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77" s="182">
        <f>ACOAETME2022[[#This Row],[TOTAL Non-Truncated Unadjusted Claims Expenses]]+ACOAETME2022[[#This Row],[TOTAL Non-Claims Expenses]]</f>
        <v>0</v>
      </c>
      <c r="Y77" s="182">
        <f>ACOAETME2022[[#This Row],[TOTAL Truncated Unadjusted Claims Expenses (A19 - A17)]]+ACOAETME2022[[#This Row],[TOTAL Non-Claims Expenses]]</f>
        <v>0</v>
      </c>
      <c r="Z77" s="540" t="str">
        <f>IFERROR(ACOAETME2022[[#This Row],[TOTAL Non-Truncated Unadjusted Expenses 
(A19+A21)]]/ACOAETME2022[[#This Row],[Member Months]], "NA")</f>
        <v>NA</v>
      </c>
      <c r="AA77" s="232" t="str">
        <f>IFERROR(ACOAETME2022[[#This Row],[TOTAL Truncated Unadjusted Expenses (A20+A21)]]/ACOAETME2022[[#This Row],[Member Months]], "NA")</f>
        <v>NA</v>
      </c>
      <c r="AB77" s="504">
        <f>IFERROR(ACOAETME2022[[#This Row],[Total Claims Excluded because of Truncation]]/ACOAETME2022[[#This Row],[Count of Members with Claims Truncated]], 0)</f>
        <v>0</v>
      </c>
      <c r="AC77" s="508">
        <f>IFERROR(ACOAETME2022[[#This Row],[Total Claims Excluded because of Truncation]]/ACOAETME2022[[#This Row],[TOTAL Non-Truncated Unadjusted Claims Expenses]], 0)</f>
        <v>0</v>
      </c>
    </row>
    <row r="78" spans="1:29" x14ac:dyDescent="0.35">
      <c r="A78" s="8"/>
      <c r="B78" s="175"/>
      <c r="C78" s="179"/>
      <c r="D78" s="180"/>
      <c r="E78" s="181"/>
      <c r="F78" s="181"/>
      <c r="G78" s="181"/>
      <c r="H78" s="181"/>
      <c r="I78" s="181"/>
      <c r="J78" s="181"/>
      <c r="K78" s="181"/>
      <c r="L78" s="181"/>
      <c r="M78" s="181"/>
      <c r="N78" s="181"/>
      <c r="O78" s="181"/>
      <c r="P78" s="181"/>
      <c r="Q78" s="181"/>
      <c r="R78" s="181"/>
      <c r="S78" s="181"/>
      <c r="T78" s="181"/>
      <c r="U78"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78" s="182">
        <f>ACOAETME2022[[#This Row],[TOTAL Non-Truncated Unadjusted Claims Expenses]]-ACOAETME2022[[#This Row],[Total Claims Excluded because of Truncation]]</f>
        <v>0</v>
      </c>
      <c r="W78"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78" s="182">
        <f>ACOAETME2022[[#This Row],[TOTAL Non-Truncated Unadjusted Claims Expenses]]+ACOAETME2022[[#This Row],[TOTAL Non-Claims Expenses]]</f>
        <v>0</v>
      </c>
      <c r="Y78" s="182">
        <f>ACOAETME2022[[#This Row],[TOTAL Truncated Unadjusted Claims Expenses (A19 - A17)]]+ACOAETME2022[[#This Row],[TOTAL Non-Claims Expenses]]</f>
        <v>0</v>
      </c>
      <c r="Z78" s="540" t="str">
        <f>IFERROR(ACOAETME2022[[#This Row],[TOTAL Non-Truncated Unadjusted Expenses 
(A19+A21)]]/ACOAETME2022[[#This Row],[Member Months]], "NA")</f>
        <v>NA</v>
      </c>
      <c r="AA78" s="232" t="str">
        <f>IFERROR(ACOAETME2022[[#This Row],[TOTAL Truncated Unadjusted Expenses (A20+A21)]]/ACOAETME2022[[#This Row],[Member Months]], "NA")</f>
        <v>NA</v>
      </c>
      <c r="AB78" s="504">
        <f>IFERROR(ACOAETME2022[[#This Row],[Total Claims Excluded because of Truncation]]/ACOAETME2022[[#This Row],[Count of Members with Claims Truncated]], 0)</f>
        <v>0</v>
      </c>
      <c r="AC78" s="508">
        <f>IFERROR(ACOAETME2022[[#This Row],[Total Claims Excluded because of Truncation]]/ACOAETME2022[[#This Row],[TOTAL Non-Truncated Unadjusted Claims Expenses]], 0)</f>
        <v>0</v>
      </c>
    </row>
    <row r="79" spans="1:29" x14ac:dyDescent="0.35">
      <c r="A79" s="8"/>
      <c r="B79" s="175"/>
      <c r="C79" s="179"/>
      <c r="D79" s="180"/>
      <c r="E79" s="181"/>
      <c r="F79" s="181"/>
      <c r="G79" s="181"/>
      <c r="H79" s="181"/>
      <c r="I79" s="181"/>
      <c r="J79" s="181"/>
      <c r="K79" s="181"/>
      <c r="L79" s="181"/>
      <c r="M79" s="181"/>
      <c r="N79" s="181"/>
      <c r="O79" s="181"/>
      <c r="P79" s="181"/>
      <c r="Q79" s="181"/>
      <c r="R79" s="181"/>
      <c r="S79" s="181"/>
      <c r="T79" s="181"/>
      <c r="U79"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79" s="182">
        <f>ACOAETME2022[[#This Row],[TOTAL Non-Truncated Unadjusted Claims Expenses]]-ACOAETME2022[[#This Row],[Total Claims Excluded because of Truncation]]</f>
        <v>0</v>
      </c>
      <c r="W79"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79" s="182">
        <f>ACOAETME2022[[#This Row],[TOTAL Non-Truncated Unadjusted Claims Expenses]]+ACOAETME2022[[#This Row],[TOTAL Non-Claims Expenses]]</f>
        <v>0</v>
      </c>
      <c r="Y79" s="182">
        <f>ACOAETME2022[[#This Row],[TOTAL Truncated Unadjusted Claims Expenses (A19 - A17)]]+ACOAETME2022[[#This Row],[TOTAL Non-Claims Expenses]]</f>
        <v>0</v>
      </c>
      <c r="Z79" s="540" t="str">
        <f>IFERROR(ACOAETME2022[[#This Row],[TOTAL Non-Truncated Unadjusted Expenses 
(A19+A21)]]/ACOAETME2022[[#This Row],[Member Months]], "NA")</f>
        <v>NA</v>
      </c>
      <c r="AA79" s="232" t="str">
        <f>IFERROR(ACOAETME2022[[#This Row],[TOTAL Truncated Unadjusted Expenses (A20+A21)]]/ACOAETME2022[[#This Row],[Member Months]], "NA")</f>
        <v>NA</v>
      </c>
      <c r="AB79" s="504">
        <f>IFERROR(ACOAETME2022[[#This Row],[Total Claims Excluded because of Truncation]]/ACOAETME2022[[#This Row],[Count of Members with Claims Truncated]], 0)</f>
        <v>0</v>
      </c>
      <c r="AC79" s="508">
        <f>IFERROR(ACOAETME2022[[#This Row],[Total Claims Excluded because of Truncation]]/ACOAETME2022[[#This Row],[TOTAL Non-Truncated Unadjusted Claims Expenses]], 0)</f>
        <v>0</v>
      </c>
    </row>
    <row r="80" spans="1:29" x14ac:dyDescent="0.35">
      <c r="A80" s="8"/>
      <c r="B80" s="175"/>
      <c r="C80" s="179"/>
      <c r="D80" s="180"/>
      <c r="E80" s="181"/>
      <c r="F80" s="181"/>
      <c r="G80" s="181"/>
      <c r="H80" s="181"/>
      <c r="I80" s="181"/>
      <c r="J80" s="181"/>
      <c r="K80" s="181"/>
      <c r="L80" s="181"/>
      <c r="M80" s="181"/>
      <c r="N80" s="181"/>
      <c r="O80" s="181"/>
      <c r="P80" s="181"/>
      <c r="Q80" s="181"/>
      <c r="R80" s="181"/>
      <c r="S80" s="181"/>
      <c r="T80" s="181"/>
      <c r="U80"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80" s="182">
        <f>ACOAETME2022[[#This Row],[TOTAL Non-Truncated Unadjusted Claims Expenses]]-ACOAETME2022[[#This Row],[Total Claims Excluded because of Truncation]]</f>
        <v>0</v>
      </c>
      <c r="W80"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80" s="182">
        <f>ACOAETME2022[[#This Row],[TOTAL Non-Truncated Unadjusted Claims Expenses]]+ACOAETME2022[[#This Row],[TOTAL Non-Claims Expenses]]</f>
        <v>0</v>
      </c>
      <c r="Y80" s="182">
        <f>ACOAETME2022[[#This Row],[TOTAL Truncated Unadjusted Claims Expenses (A19 - A17)]]+ACOAETME2022[[#This Row],[TOTAL Non-Claims Expenses]]</f>
        <v>0</v>
      </c>
      <c r="Z80" s="540" t="str">
        <f>IFERROR(ACOAETME2022[[#This Row],[TOTAL Non-Truncated Unadjusted Expenses 
(A19+A21)]]/ACOAETME2022[[#This Row],[Member Months]], "NA")</f>
        <v>NA</v>
      </c>
      <c r="AA80" s="232" t="str">
        <f>IFERROR(ACOAETME2022[[#This Row],[TOTAL Truncated Unadjusted Expenses (A20+A21)]]/ACOAETME2022[[#This Row],[Member Months]], "NA")</f>
        <v>NA</v>
      </c>
      <c r="AB80" s="504">
        <f>IFERROR(ACOAETME2022[[#This Row],[Total Claims Excluded because of Truncation]]/ACOAETME2022[[#This Row],[Count of Members with Claims Truncated]], 0)</f>
        <v>0</v>
      </c>
      <c r="AC80" s="508">
        <f>IFERROR(ACOAETME2022[[#This Row],[Total Claims Excluded because of Truncation]]/ACOAETME2022[[#This Row],[TOTAL Non-Truncated Unadjusted Claims Expenses]], 0)</f>
        <v>0</v>
      </c>
    </row>
    <row r="81" spans="1:29" x14ac:dyDescent="0.35">
      <c r="A81" s="8"/>
      <c r="B81" s="175"/>
      <c r="C81" s="179"/>
      <c r="D81" s="180"/>
      <c r="E81" s="181"/>
      <c r="F81" s="181"/>
      <c r="G81" s="181"/>
      <c r="H81" s="181"/>
      <c r="I81" s="181"/>
      <c r="J81" s="181"/>
      <c r="K81" s="181"/>
      <c r="L81" s="181"/>
      <c r="M81" s="181"/>
      <c r="N81" s="181"/>
      <c r="O81" s="181"/>
      <c r="P81" s="181"/>
      <c r="Q81" s="181"/>
      <c r="R81" s="181"/>
      <c r="S81" s="181"/>
      <c r="T81" s="181"/>
      <c r="U81"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81" s="182">
        <f>ACOAETME2022[[#This Row],[TOTAL Non-Truncated Unadjusted Claims Expenses]]-ACOAETME2022[[#This Row],[Total Claims Excluded because of Truncation]]</f>
        <v>0</v>
      </c>
      <c r="W81"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81" s="182">
        <f>ACOAETME2022[[#This Row],[TOTAL Non-Truncated Unadjusted Claims Expenses]]+ACOAETME2022[[#This Row],[TOTAL Non-Claims Expenses]]</f>
        <v>0</v>
      </c>
      <c r="Y81" s="182">
        <f>ACOAETME2022[[#This Row],[TOTAL Truncated Unadjusted Claims Expenses (A19 - A17)]]+ACOAETME2022[[#This Row],[TOTAL Non-Claims Expenses]]</f>
        <v>0</v>
      </c>
      <c r="Z81" s="540" t="str">
        <f>IFERROR(ACOAETME2022[[#This Row],[TOTAL Non-Truncated Unadjusted Expenses 
(A19+A21)]]/ACOAETME2022[[#This Row],[Member Months]], "NA")</f>
        <v>NA</v>
      </c>
      <c r="AA81" s="232" t="str">
        <f>IFERROR(ACOAETME2022[[#This Row],[TOTAL Truncated Unadjusted Expenses (A20+A21)]]/ACOAETME2022[[#This Row],[Member Months]], "NA")</f>
        <v>NA</v>
      </c>
      <c r="AB81" s="504">
        <f>IFERROR(ACOAETME2022[[#This Row],[Total Claims Excluded because of Truncation]]/ACOAETME2022[[#This Row],[Count of Members with Claims Truncated]], 0)</f>
        <v>0</v>
      </c>
      <c r="AC81" s="508">
        <f>IFERROR(ACOAETME2022[[#This Row],[Total Claims Excluded because of Truncation]]/ACOAETME2022[[#This Row],[TOTAL Non-Truncated Unadjusted Claims Expenses]], 0)</f>
        <v>0</v>
      </c>
    </row>
    <row r="82" spans="1:29" x14ac:dyDescent="0.35">
      <c r="A82" s="8"/>
      <c r="B82" s="175"/>
      <c r="C82" s="179"/>
      <c r="D82" s="180"/>
      <c r="E82" s="181"/>
      <c r="F82" s="181"/>
      <c r="G82" s="181"/>
      <c r="H82" s="181"/>
      <c r="I82" s="181"/>
      <c r="J82" s="181"/>
      <c r="K82" s="181"/>
      <c r="L82" s="181"/>
      <c r="M82" s="181"/>
      <c r="N82" s="181"/>
      <c r="O82" s="181"/>
      <c r="P82" s="181"/>
      <c r="Q82" s="181"/>
      <c r="R82" s="181"/>
      <c r="S82" s="181"/>
      <c r="T82" s="181"/>
      <c r="U82"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82" s="182">
        <f>ACOAETME2022[[#This Row],[TOTAL Non-Truncated Unadjusted Claims Expenses]]-ACOAETME2022[[#This Row],[Total Claims Excluded because of Truncation]]</f>
        <v>0</v>
      </c>
      <c r="W82"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82" s="182">
        <f>ACOAETME2022[[#This Row],[TOTAL Non-Truncated Unadjusted Claims Expenses]]+ACOAETME2022[[#This Row],[TOTAL Non-Claims Expenses]]</f>
        <v>0</v>
      </c>
      <c r="Y82" s="182">
        <f>ACOAETME2022[[#This Row],[TOTAL Truncated Unadjusted Claims Expenses (A19 - A17)]]+ACOAETME2022[[#This Row],[TOTAL Non-Claims Expenses]]</f>
        <v>0</v>
      </c>
      <c r="Z82" s="540" t="str">
        <f>IFERROR(ACOAETME2022[[#This Row],[TOTAL Non-Truncated Unadjusted Expenses 
(A19+A21)]]/ACOAETME2022[[#This Row],[Member Months]], "NA")</f>
        <v>NA</v>
      </c>
      <c r="AA82" s="232" t="str">
        <f>IFERROR(ACOAETME2022[[#This Row],[TOTAL Truncated Unadjusted Expenses (A20+A21)]]/ACOAETME2022[[#This Row],[Member Months]], "NA")</f>
        <v>NA</v>
      </c>
      <c r="AB82" s="504">
        <f>IFERROR(ACOAETME2022[[#This Row],[Total Claims Excluded because of Truncation]]/ACOAETME2022[[#This Row],[Count of Members with Claims Truncated]], 0)</f>
        <v>0</v>
      </c>
      <c r="AC82" s="508">
        <f>IFERROR(ACOAETME2022[[#This Row],[Total Claims Excluded because of Truncation]]/ACOAETME2022[[#This Row],[TOTAL Non-Truncated Unadjusted Claims Expenses]], 0)</f>
        <v>0</v>
      </c>
    </row>
    <row r="83" spans="1:29" x14ac:dyDescent="0.35">
      <c r="A83" s="8"/>
      <c r="B83" s="175"/>
      <c r="C83" s="179"/>
      <c r="D83" s="180"/>
      <c r="E83" s="181"/>
      <c r="F83" s="181"/>
      <c r="G83" s="181"/>
      <c r="H83" s="181"/>
      <c r="I83" s="181"/>
      <c r="J83" s="181"/>
      <c r="K83" s="181"/>
      <c r="L83" s="181"/>
      <c r="M83" s="181"/>
      <c r="N83" s="181"/>
      <c r="O83" s="181"/>
      <c r="P83" s="181"/>
      <c r="Q83" s="181"/>
      <c r="R83" s="181"/>
      <c r="S83" s="181"/>
      <c r="T83" s="181"/>
      <c r="U83"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83" s="182">
        <f>ACOAETME2022[[#This Row],[TOTAL Non-Truncated Unadjusted Claims Expenses]]-ACOAETME2022[[#This Row],[Total Claims Excluded because of Truncation]]</f>
        <v>0</v>
      </c>
      <c r="W83"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83" s="182">
        <f>ACOAETME2022[[#This Row],[TOTAL Non-Truncated Unadjusted Claims Expenses]]+ACOAETME2022[[#This Row],[TOTAL Non-Claims Expenses]]</f>
        <v>0</v>
      </c>
      <c r="Y83" s="182">
        <f>ACOAETME2022[[#This Row],[TOTAL Truncated Unadjusted Claims Expenses (A19 - A17)]]+ACOAETME2022[[#This Row],[TOTAL Non-Claims Expenses]]</f>
        <v>0</v>
      </c>
      <c r="Z83" s="540" t="str">
        <f>IFERROR(ACOAETME2022[[#This Row],[TOTAL Non-Truncated Unadjusted Expenses 
(A19+A21)]]/ACOAETME2022[[#This Row],[Member Months]], "NA")</f>
        <v>NA</v>
      </c>
      <c r="AA83" s="232" t="str">
        <f>IFERROR(ACOAETME2022[[#This Row],[TOTAL Truncated Unadjusted Expenses (A20+A21)]]/ACOAETME2022[[#This Row],[Member Months]], "NA")</f>
        <v>NA</v>
      </c>
      <c r="AB83" s="504">
        <f>IFERROR(ACOAETME2022[[#This Row],[Total Claims Excluded because of Truncation]]/ACOAETME2022[[#This Row],[Count of Members with Claims Truncated]], 0)</f>
        <v>0</v>
      </c>
      <c r="AC83" s="508">
        <f>IFERROR(ACOAETME2022[[#This Row],[Total Claims Excluded because of Truncation]]/ACOAETME2022[[#This Row],[TOTAL Non-Truncated Unadjusted Claims Expenses]], 0)</f>
        <v>0</v>
      </c>
    </row>
    <row r="84" spans="1:29" x14ac:dyDescent="0.35">
      <c r="A84" s="8"/>
      <c r="B84" s="175"/>
      <c r="C84" s="179"/>
      <c r="D84" s="180"/>
      <c r="E84" s="181"/>
      <c r="F84" s="181"/>
      <c r="G84" s="181"/>
      <c r="H84" s="181"/>
      <c r="I84" s="181"/>
      <c r="J84" s="181"/>
      <c r="K84" s="181"/>
      <c r="L84" s="181"/>
      <c r="M84" s="181"/>
      <c r="N84" s="181"/>
      <c r="O84" s="181"/>
      <c r="P84" s="181"/>
      <c r="Q84" s="181"/>
      <c r="R84" s="181"/>
      <c r="S84" s="181"/>
      <c r="T84" s="181"/>
      <c r="U84"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84" s="182">
        <f>ACOAETME2022[[#This Row],[TOTAL Non-Truncated Unadjusted Claims Expenses]]-ACOAETME2022[[#This Row],[Total Claims Excluded because of Truncation]]</f>
        <v>0</v>
      </c>
      <c r="W84"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84" s="182">
        <f>ACOAETME2022[[#This Row],[TOTAL Non-Truncated Unadjusted Claims Expenses]]+ACOAETME2022[[#This Row],[TOTAL Non-Claims Expenses]]</f>
        <v>0</v>
      </c>
      <c r="Y84" s="182">
        <f>ACOAETME2022[[#This Row],[TOTAL Truncated Unadjusted Claims Expenses (A19 - A17)]]+ACOAETME2022[[#This Row],[TOTAL Non-Claims Expenses]]</f>
        <v>0</v>
      </c>
      <c r="Z84" s="540" t="str">
        <f>IFERROR(ACOAETME2022[[#This Row],[TOTAL Non-Truncated Unadjusted Expenses 
(A19+A21)]]/ACOAETME2022[[#This Row],[Member Months]], "NA")</f>
        <v>NA</v>
      </c>
      <c r="AA84" s="232" t="str">
        <f>IFERROR(ACOAETME2022[[#This Row],[TOTAL Truncated Unadjusted Expenses (A20+A21)]]/ACOAETME2022[[#This Row],[Member Months]], "NA")</f>
        <v>NA</v>
      </c>
      <c r="AB84" s="504">
        <f>IFERROR(ACOAETME2022[[#This Row],[Total Claims Excluded because of Truncation]]/ACOAETME2022[[#This Row],[Count of Members with Claims Truncated]], 0)</f>
        <v>0</v>
      </c>
      <c r="AC84" s="508">
        <f>IFERROR(ACOAETME2022[[#This Row],[Total Claims Excluded because of Truncation]]/ACOAETME2022[[#This Row],[TOTAL Non-Truncated Unadjusted Claims Expenses]], 0)</f>
        <v>0</v>
      </c>
    </row>
    <row r="85" spans="1:29" x14ac:dyDescent="0.35">
      <c r="A85" s="8"/>
      <c r="B85" s="175"/>
      <c r="C85" s="179"/>
      <c r="D85" s="180"/>
      <c r="E85" s="181"/>
      <c r="F85" s="181"/>
      <c r="G85" s="181"/>
      <c r="H85" s="181"/>
      <c r="I85" s="181"/>
      <c r="J85" s="181"/>
      <c r="K85" s="181"/>
      <c r="L85" s="181"/>
      <c r="M85" s="181"/>
      <c r="N85" s="181"/>
      <c r="O85" s="181"/>
      <c r="P85" s="181"/>
      <c r="Q85" s="181"/>
      <c r="R85" s="181"/>
      <c r="S85" s="181"/>
      <c r="T85" s="181"/>
      <c r="U85"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85" s="182">
        <f>ACOAETME2022[[#This Row],[TOTAL Non-Truncated Unadjusted Claims Expenses]]-ACOAETME2022[[#This Row],[Total Claims Excluded because of Truncation]]</f>
        <v>0</v>
      </c>
      <c r="W85"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85" s="182">
        <f>ACOAETME2022[[#This Row],[TOTAL Non-Truncated Unadjusted Claims Expenses]]+ACOAETME2022[[#This Row],[TOTAL Non-Claims Expenses]]</f>
        <v>0</v>
      </c>
      <c r="Y85" s="182">
        <f>ACOAETME2022[[#This Row],[TOTAL Truncated Unadjusted Claims Expenses (A19 - A17)]]+ACOAETME2022[[#This Row],[TOTAL Non-Claims Expenses]]</f>
        <v>0</v>
      </c>
      <c r="Z85" s="540" t="str">
        <f>IFERROR(ACOAETME2022[[#This Row],[TOTAL Non-Truncated Unadjusted Expenses 
(A19+A21)]]/ACOAETME2022[[#This Row],[Member Months]], "NA")</f>
        <v>NA</v>
      </c>
      <c r="AA85" s="232" t="str">
        <f>IFERROR(ACOAETME2022[[#This Row],[TOTAL Truncated Unadjusted Expenses (A20+A21)]]/ACOAETME2022[[#This Row],[Member Months]], "NA")</f>
        <v>NA</v>
      </c>
      <c r="AB85" s="504">
        <f>IFERROR(ACOAETME2022[[#This Row],[Total Claims Excluded because of Truncation]]/ACOAETME2022[[#This Row],[Count of Members with Claims Truncated]], 0)</f>
        <v>0</v>
      </c>
      <c r="AC85" s="508">
        <f>IFERROR(ACOAETME2022[[#This Row],[Total Claims Excluded because of Truncation]]/ACOAETME2022[[#This Row],[TOTAL Non-Truncated Unadjusted Claims Expenses]], 0)</f>
        <v>0</v>
      </c>
    </row>
    <row r="86" spans="1:29" x14ac:dyDescent="0.35">
      <c r="A86" s="8"/>
      <c r="B86" s="175"/>
      <c r="C86" s="179"/>
      <c r="D86" s="180"/>
      <c r="E86" s="181"/>
      <c r="F86" s="181"/>
      <c r="G86" s="181"/>
      <c r="H86" s="181"/>
      <c r="I86" s="181"/>
      <c r="J86" s="181"/>
      <c r="K86" s="181"/>
      <c r="L86" s="181"/>
      <c r="M86" s="181"/>
      <c r="N86" s="181"/>
      <c r="O86" s="181"/>
      <c r="P86" s="181"/>
      <c r="Q86" s="181"/>
      <c r="R86" s="181"/>
      <c r="S86" s="181"/>
      <c r="T86" s="181"/>
      <c r="U86"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86" s="182">
        <f>ACOAETME2022[[#This Row],[TOTAL Non-Truncated Unadjusted Claims Expenses]]-ACOAETME2022[[#This Row],[Total Claims Excluded because of Truncation]]</f>
        <v>0</v>
      </c>
      <c r="W86"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86" s="182">
        <f>ACOAETME2022[[#This Row],[TOTAL Non-Truncated Unadjusted Claims Expenses]]+ACOAETME2022[[#This Row],[TOTAL Non-Claims Expenses]]</f>
        <v>0</v>
      </c>
      <c r="Y86" s="182">
        <f>ACOAETME2022[[#This Row],[TOTAL Truncated Unadjusted Claims Expenses (A19 - A17)]]+ACOAETME2022[[#This Row],[TOTAL Non-Claims Expenses]]</f>
        <v>0</v>
      </c>
      <c r="Z86" s="540" t="str">
        <f>IFERROR(ACOAETME2022[[#This Row],[TOTAL Non-Truncated Unadjusted Expenses 
(A19+A21)]]/ACOAETME2022[[#This Row],[Member Months]], "NA")</f>
        <v>NA</v>
      </c>
      <c r="AA86" s="232" t="str">
        <f>IFERROR(ACOAETME2022[[#This Row],[TOTAL Truncated Unadjusted Expenses (A20+A21)]]/ACOAETME2022[[#This Row],[Member Months]], "NA")</f>
        <v>NA</v>
      </c>
      <c r="AB86" s="504">
        <f>IFERROR(ACOAETME2022[[#This Row],[Total Claims Excluded because of Truncation]]/ACOAETME2022[[#This Row],[Count of Members with Claims Truncated]], 0)</f>
        <v>0</v>
      </c>
      <c r="AC86" s="508">
        <f>IFERROR(ACOAETME2022[[#This Row],[Total Claims Excluded because of Truncation]]/ACOAETME2022[[#This Row],[TOTAL Non-Truncated Unadjusted Claims Expenses]], 0)</f>
        <v>0</v>
      </c>
    </row>
    <row r="87" spans="1:29" x14ac:dyDescent="0.35">
      <c r="A87" s="8"/>
      <c r="B87" s="175"/>
      <c r="C87" s="179"/>
      <c r="D87" s="180"/>
      <c r="E87" s="181"/>
      <c r="F87" s="181"/>
      <c r="G87" s="181"/>
      <c r="H87" s="181"/>
      <c r="I87" s="181"/>
      <c r="J87" s="181"/>
      <c r="K87" s="181"/>
      <c r="L87" s="181"/>
      <c r="M87" s="181"/>
      <c r="N87" s="181"/>
      <c r="O87" s="181"/>
      <c r="P87" s="181"/>
      <c r="Q87" s="181"/>
      <c r="R87" s="181"/>
      <c r="S87" s="181"/>
      <c r="T87" s="181"/>
      <c r="U87"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87" s="182">
        <f>ACOAETME2022[[#This Row],[TOTAL Non-Truncated Unadjusted Claims Expenses]]-ACOAETME2022[[#This Row],[Total Claims Excluded because of Truncation]]</f>
        <v>0</v>
      </c>
      <c r="W87"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87" s="182">
        <f>ACOAETME2022[[#This Row],[TOTAL Non-Truncated Unadjusted Claims Expenses]]+ACOAETME2022[[#This Row],[TOTAL Non-Claims Expenses]]</f>
        <v>0</v>
      </c>
      <c r="Y87" s="182">
        <f>ACOAETME2022[[#This Row],[TOTAL Truncated Unadjusted Claims Expenses (A19 - A17)]]+ACOAETME2022[[#This Row],[TOTAL Non-Claims Expenses]]</f>
        <v>0</v>
      </c>
      <c r="Z87" s="540" t="str">
        <f>IFERROR(ACOAETME2022[[#This Row],[TOTAL Non-Truncated Unadjusted Expenses 
(A19+A21)]]/ACOAETME2022[[#This Row],[Member Months]], "NA")</f>
        <v>NA</v>
      </c>
      <c r="AA87" s="232" t="str">
        <f>IFERROR(ACOAETME2022[[#This Row],[TOTAL Truncated Unadjusted Expenses (A20+A21)]]/ACOAETME2022[[#This Row],[Member Months]], "NA")</f>
        <v>NA</v>
      </c>
      <c r="AB87" s="504">
        <f>IFERROR(ACOAETME2022[[#This Row],[Total Claims Excluded because of Truncation]]/ACOAETME2022[[#This Row],[Count of Members with Claims Truncated]], 0)</f>
        <v>0</v>
      </c>
      <c r="AC87" s="508">
        <f>IFERROR(ACOAETME2022[[#This Row],[Total Claims Excluded because of Truncation]]/ACOAETME2022[[#This Row],[TOTAL Non-Truncated Unadjusted Claims Expenses]], 0)</f>
        <v>0</v>
      </c>
    </row>
    <row r="88" spans="1:29" x14ac:dyDescent="0.35">
      <c r="A88" s="8"/>
      <c r="B88" s="175"/>
      <c r="C88" s="179"/>
      <c r="D88" s="180"/>
      <c r="E88" s="181"/>
      <c r="F88" s="181"/>
      <c r="G88" s="181"/>
      <c r="H88" s="181"/>
      <c r="I88" s="181"/>
      <c r="J88" s="181"/>
      <c r="K88" s="181"/>
      <c r="L88" s="181"/>
      <c r="M88" s="181"/>
      <c r="N88" s="181"/>
      <c r="O88" s="181"/>
      <c r="P88" s="181"/>
      <c r="Q88" s="181"/>
      <c r="R88" s="181"/>
      <c r="S88" s="181"/>
      <c r="T88" s="181"/>
      <c r="U88"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88" s="182">
        <f>ACOAETME2022[[#This Row],[TOTAL Non-Truncated Unadjusted Claims Expenses]]-ACOAETME2022[[#This Row],[Total Claims Excluded because of Truncation]]</f>
        <v>0</v>
      </c>
      <c r="W88"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88" s="182">
        <f>ACOAETME2022[[#This Row],[TOTAL Non-Truncated Unadjusted Claims Expenses]]+ACOAETME2022[[#This Row],[TOTAL Non-Claims Expenses]]</f>
        <v>0</v>
      </c>
      <c r="Y88" s="182">
        <f>ACOAETME2022[[#This Row],[TOTAL Truncated Unadjusted Claims Expenses (A19 - A17)]]+ACOAETME2022[[#This Row],[TOTAL Non-Claims Expenses]]</f>
        <v>0</v>
      </c>
      <c r="Z88" s="540" t="str">
        <f>IFERROR(ACOAETME2022[[#This Row],[TOTAL Non-Truncated Unadjusted Expenses 
(A19+A21)]]/ACOAETME2022[[#This Row],[Member Months]], "NA")</f>
        <v>NA</v>
      </c>
      <c r="AA88" s="232" t="str">
        <f>IFERROR(ACOAETME2022[[#This Row],[TOTAL Truncated Unadjusted Expenses (A20+A21)]]/ACOAETME2022[[#This Row],[Member Months]], "NA")</f>
        <v>NA</v>
      </c>
      <c r="AB88" s="504">
        <f>IFERROR(ACOAETME2022[[#This Row],[Total Claims Excluded because of Truncation]]/ACOAETME2022[[#This Row],[Count of Members with Claims Truncated]], 0)</f>
        <v>0</v>
      </c>
      <c r="AC88" s="508">
        <f>IFERROR(ACOAETME2022[[#This Row],[Total Claims Excluded because of Truncation]]/ACOAETME2022[[#This Row],[TOTAL Non-Truncated Unadjusted Claims Expenses]], 0)</f>
        <v>0</v>
      </c>
    </row>
    <row r="89" spans="1:29" x14ac:dyDescent="0.35">
      <c r="A89" s="8"/>
      <c r="B89" s="175"/>
      <c r="C89" s="179"/>
      <c r="D89" s="180"/>
      <c r="E89" s="181"/>
      <c r="F89" s="181"/>
      <c r="G89" s="181"/>
      <c r="H89" s="181"/>
      <c r="I89" s="181"/>
      <c r="J89" s="181"/>
      <c r="K89" s="181"/>
      <c r="L89" s="181"/>
      <c r="M89" s="181"/>
      <c r="N89" s="181"/>
      <c r="O89" s="181"/>
      <c r="P89" s="181"/>
      <c r="Q89" s="181"/>
      <c r="R89" s="181"/>
      <c r="S89" s="181"/>
      <c r="T89" s="181"/>
      <c r="U89"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89" s="182">
        <f>ACOAETME2022[[#This Row],[TOTAL Non-Truncated Unadjusted Claims Expenses]]-ACOAETME2022[[#This Row],[Total Claims Excluded because of Truncation]]</f>
        <v>0</v>
      </c>
      <c r="W89"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89" s="182">
        <f>ACOAETME2022[[#This Row],[TOTAL Non-Truncated Unadjusted Claims Expenses]]+ACOAETME2022[[#This Row],[TOTAL Non-Claims Expenses]]</f>
        <v>0</v>
      </c>
      <c r="Y89" s="182">
        <f>ACOAETME2022[[#This Row],[TOTAL Truncated Unadjusted Claims Expenses (A19 - A17)]]+ACOAETME2022[[#This Row],[TOTAL Non-Claims Expenses]]</f>
        <v>0</v>
      </c>
      <c r="Z89" s="540" t="str">
        <f>IFERROR(ACOAETME2022[[#This Row],[TOTAL Non-Truncated Unadjusted Expenses 
(A19+A21)]]/ACOAETME2022[[#This Row],[Member Months]], "NA")</f>
        <v>NA</v>
      </c>
      <c r="AA89" s="232" t="str">
        <f>IFERROR(ACOAETME2022[[#This Row],[TOTAL Truncated Unadjusted Expenses (A20+A21)]]/ACOAETME2022[[#This Row],[Member Months]], "NA")</f>
        <v>NA</v>
      </c>
      <c r="AB89" s="504">
        <f>IFERROR(ACOAETME2022[[#This Row],[Total Claims Excluded because of Truncation]]/ACOAETME2022[[#This Row],[Count of Members with Claims Truncated]], 0)</f>
        <v>0</v>
      </c>
      <c r="AC89" s="508">
        <f>IFERROR(ACOAETME2022[[#This Row],[Total Claims Excluded because of Truncation]]/ACOAETME2022[[#This Row],[TOTAL Non-Truncated Unadjusted Claims Expenses]], 0)</f>
        <v>0</v>
      </c>
    </row>
    <row r="90" spans="1:29" x14ac:dyDescent="0.35">
      <c r="A90" s="8"/>
      <c r="B90" s="175"/>
      <c r="C90" s="179"/>
      <c r="D90" s="180"/>
      <c r="E90" s="181"/>
      <c r="F90" s="181"/>
      <c r="G90" s="181"/>
      <c r="H90" s="181"/>
      <c r="I90" s="181"/>
      <c r="J90" s="181"/>
      <c r="K90" s="181"/>
      <c r="L90" s="181"/>
      <c r="M90" s="181"/>
      <c r="N90" s="181"/>
      <c r="O90" s="181"/>
      <c r="P90" s="181"/>
      <c r="Q90" s="181"/>
      <c r="R90" s="181"/>
      <c r="S90" s="181"/>
      <c r="T90" s="181"/>
      <c r="U90"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90" s="182">
        <f>ACOAETME2022[[#This Row],[TOTAL Non-Truncated Unadjusted Claims Expenses]]-ACOAETME2022[[#This Row],[Total Claims Excluded because of Truncation]]</f>
        <v>0</v>
      </c>
      <c r="W90"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90" s="182">
        <f>ACOAETME2022[[#This Row],[TOTAL Non-Truncated Unadjusted Claims Expenses]]+ACOAETME2022[[#This Row],[TOTAL Non-Claims Expenses]]</f>
        <v>0</v>
      </c>
      <c r="Y90" s="182">
        <f>ACOAETME2022[[#This Row],[TOTAL Truncated Unadjusted Claims Expenses (A19 - A17)]]+ACOAETME2022[[#This Row],[TOTAL Non-Claims Expenses]]</f>
        <v>0</v>
      </c>
      <c r="Z90" s="540" t="str">
        <f>IFERROR(ACOAETME2022[[#This Row],[TOTAL Non-Truncated Unadjusted Expenses 
(A19+A21)]]/ACOAETME2022[[#This Row],[Member Months]], "NA")</f>
        <v>NA</v>
      </c>
      <c r="AA90" s="232" t="str">
        <f>IFERROR(ACOAETME2022[[#This Row],[TOTAL Truncated Unadjusted Expenses (A20+A21)]]/ACOAETME2022[[#This Row],[Member Months]], "NA")</f>
        <v>NA</v>
      </c>
      <c r="AB90" s="504">
        <f>IFERROR(ACOAETME2022[[#This Row],[Total Claims Excluded because of Truncation]]/ACOAETME2022[[#This Row],[Count of Members with Claims Truncated]], 0)</f>
        <v>0</v>
      </c>
      <c r="AC90" s="508">
        <f>IFERROR(ACOAETME2022[[#This Row],[Total Claims Excluded because of Truncation]]/ACOAETME2022[[#This Row],[TOTAL Non-Truncated Unadjusted Claims Expenses]], 0)</f>
        <v>0</v>
      </c>
    </row>
    <row r="91" spans="1:29" x14ac:dyDescent="0.35">
      <c r="A91" s="8"/>
      <c r="B91" s="175"/>
      <c r="C91" s="179"/>
      <c r="D91" s="180"/>
      <c r="E91" s="181"/>
      <c r="F91" s="181"/>
      <c r="G91" s="181"/>
      <c r="H91" s="181"/>
      <c r="I91" s="181"/>
      <c r="J91" s="181"/>
      <c r="K91" s="181"/>
      <c r="L91" s="181"/>
      <c r="M91" s="181"/>
      <c r="N91" s="181"/>
      <c r="O91" s="181"/>
      <c r="P91" s="181"/>
      <c r="Q91" s="181"/>
      <c r="R91" s="181"/>
      <c r="S91" s="181"/>
      <c r="T91" s="181"/>
      <c r="U91"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91" s="182">
        <f>ACOAETME2022[[#This Row],[TOTAL Non-Truncated Unadjusted Claims Expenses]]-ACOAETME2022[[#This Row],[Total Claims Excluded because of Truncation]]</f>
        <v>0</v>
      </c>
      <c r="W91"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91" s="182">
        <f>ACOAETME2022[[#This Row],[TOTAL Non-Truncated Unadjusted Claims Expenses]]+ACOAETME2022[[#This Row],[TOTAL Non-Claims Expenses]]</f>
        <v>0</v>
      </c>
      <c r="Y91" s="182">
        <f>ACOAETME2022[[#This Row],[TOTAL Truncated Unadjusted Claims Expenses (A19 - A17)]]+ACOAETME2022[[#This Row],[TOTAL Non-Claims Expenses]]</f>
        <v>0</v>
      </c>
      <c r="Z91" s="540" t="str">
        <f>IFERROR(ACOAETME2022[[#This Row],[TOTAL Non-Truncated Unadjusted Expenses 
(A19+A21)]]/ACOAETME2022[[#This Row],[Member Months]], "NA")</f>
        <v>NA</v>
      </c>
      <c r="AA91" s="232" t="str">
        <f>IFERROR(ACOAETME2022[[#This Row],[TOTAL Truncated Unadjusted Expenses (A20+A21)]]/ACOAETME2022[[#This Row],[Member Months]], "NA")</f>
        <v>NA</v>
      </c>
      <c r="AB91" s="504">
        <f>IFERROR(ACOAETME2022[[#This Row],[Total Claims Excluded because of Truncation]]/ACOAETME2022[[#This Row],[Count of Members with Claims Truncated]], 0)</f>
        <v>0</v>
      </c>
      <c r="AC91" s="508">
        <f>IFERROR(ACOAETME2022[[#This Row],[Total Claims Excluded because of Truncation]]/ACOAETME2022[[#This Row],[TOTAL Non-Truncated Unadjusted Claims Expenses]], 0)</f>
        <v>0</v>
      </c>
    </row>
    <row r="92" spans="1:29" x14ac:dyDescent="0.35">
      <c r="A92" s="8"/>
      <c r="B92" s="175"/>
      <c r="C92" s="179"/>
      <c r="D92" s="180"/>
      <c r="E92" s="181"/>
      <c r="F92" s="181"/>
      <c r="G92" s="181"/>
      <c r="H92" s="181"/>
      <c r="I92" s="181"/>
      <c r="J92" s="181"/>
      <c r="K92" s="181"/>
      <c r="L92" s="181"/>
      <c r="M92" s="181"/>
      <c r="N92" s="181"/>
      <c r="O92" s="181"/>
      <c r="P92" s="181"/>
      <c r="Q92" s="181"/>
      <c r="R92" s="181"/>
      <c r="S92" s="181"/>
      <c r="T92" s="181"/>
      <c r="U92"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92" s="182">
        <f>ACOAETME2022[[#This Row],[TOTAL Non-Truncated Unadjusted Claims Expenses]]-ACOAETME2022[[#This Row],[Total Claims Excluded because of Truncation]]</f>
        <v>0</v>
      </c>
      <c r="W92"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92" s="182">
        <f>ACOAETME2022[[#This Row],[TOTAL Non-Truncated Unadjusted Claims Expenses]]+ACOAETME2022[[#This Row],[TOTAL Non-Claims Expenses]]</f>
        <v>0</v>
      </c>
      <c r="Y92" s="182">
        <f>ACOAETME2022[[#This Row],[TOTAL Truncated Unadjusted Claims Expenses (A19 - A17)]]+ACOAETME2022[[#This Row],[TOTAL Non-Claims Expenses]]</f>
        <v>0</v>
      </c>
      <c r="Z92" s="540" t="str">
        <f>IFERROR(ACOAETME2022[[#This Row],[TOTAL Non-Truncated Unadjusted Expenses 
(A19+A21)]]/ACOAETME2022[[#This Row],[Member Months]], "NA")</f>
        <v>NA</v>
      </c>
      <c r="AA92" s="232" t="str">
        <f>IFERROR(ACOAETME2022[[#This Row],[TOTAL Truncated Unadjusted Expenses (A20+A21)]]/ACOAETME2022[[#This Row],[Member Months]], "NA")</f>
        <v>NA</v>
      </c>
      <c r="AB92" s="504">
        <f>IFERROR(ACOAETME2022[[#This Row],[Total Claims Excluded because of Truncation]]/ACOAETME2022[[#This Row],[Count of Members with Claims Truncated]], 0)</f>
        <v>0</v>
      </c>
      <c r="AC92" s="508">
        <f>IFERROR(ACOAETME2022[[#This Row],[Total Claims Excluded because of Truncation]]/ACOAETME2022[[#This Row],[TOTAL Non-Truncated Unadjusted Claims Expenses]], 0)</f>
        <v>0</v>
      </c>
    </row>
    <row r="93" spans="1:29" x14ac:dyDescent="0.35">
      <c r="A93" s="8"/>
      <c r="B93" s="175"/>
      <c r="C93" s="179"/>
      <c r="D93" s="180"/>
      <c r="E93" s="181"/>
      <c r="F93" s="181"/>
      <c r="G93" s="181"/>
      <c r="H93" s="181"/>
      <c r="I93" s="181"/>
      <c r="J93" s="181"/>
      <c r="K93" s="181"/>
      <c r="L93" s="181"/>
      <c r="M93" s="181"/>
      <c r="N93" s="181"/>
      <c r="O93" s="181"/>
      <c r="P93" s="181"/>
      <c r="Q93" s="181"/>
      <c r="R93" s="181"/>
      <c r="S93" s="181"/>
      <c r="T93" s="181"/>
      <c r="U93"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93" s="182">
        <f>ACOAETME2022[[#This Row],[TOTAL Non-Truncated Unadjusted Claims Expenses]]-ACOAETME2022[[#This Row],[Total Claims Excluded because of Truncation]]</f>
        <v>0</v>
      </c>
      <c r="W93"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93" s="182">
        <f>ACOAETME2022[[#This Row],[TOTAL Non-Truncated Unadjusted Claims Expenses]]+ACOAETME2022[[#This Row],[TOTAL Non-Claims Expenses]]</f>
        <v>0</v>
      </c>
      <c r="Y93" s="182">
        <f>ACOAETME2022[[#This Row],[TOTAL Truncated Unadjusted Claims Expenses (A19 - A17)]]+ACOAETME2022[[#This Row],[TOTAL Non-Claims Expenses]]</f>
        <v>0</v>
      </c>
      <c r="Z93" s="540" t="str">
        <f>IFERROR(ACOAETME2022[[#This Row],[TOTAL Non-Truncated Unadjusted Expenses 
(A19+A21)]]/ACOAETME2022[[#This Row],[Member Months]], "NA")</f>
        <v>NA</v>
      </c>
      <c r="AA93" s="232" t="str">
        <f>IFERROR(ACOAETME2022[[#This Row],[TOTAL Truncated Unadjusted Expenses (A20+A21)]]/ACOAETME2022[[#This Row],[Member Months]], "NA")</f>
        <v>NA</v>
      </c>
      <c r="AB93" s="504">
        <f>IFERROR(ACOAETME2022[[#This Row],[Total Claims Excluded because of Truncation]]/ACOAETME2022[[#This Row],[Count of Members with Claims Truncated]], 0)</f>
        <v>0</v>
      </c>
      <c r="AC93" s="508">
        <f>IFERROR(ACOAETME2022[[#This Row],[Total Claims Excluded because of Truncation]]/ACOAETME2022[[#This Row],[TOTAL Non-Truncated Unadjusted Claims Expenses]], 0)</f>
        <v>0</v>
      </c>
    </row>
    <row r="94" spans="1:29" x14ac:dyDescent="0.35">
      <c r="A94" s="8"/>
      <c r="B94" s="175"/>
      <c r="C94" s="179"/>
      <c r="D94" s="180"/>
      <c r="E94" s="181"/>
      <c r="F94" s="181"/>
      <c r="G94" s="181"/>
      <c r="H94" s="181"/>
      <c r="I94" s="181"/>
      <c r="J94" s="181"/>
      <c r="K94" s="181"/>
      <c r="L94" s="181"/>
      <c r="M94" s="181"/>
      <c r="N94" s="181"/>
      <c r="O94" s="181"/>
      <c r="P94" s="181"/>
      <c r="Q94" s="181"/>
      <c r="R94" s="181"/>
      <c r="S94" s="181"/>
      <c r="T94" s="181"/>
      <c r="U94"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94" s="182">
        <f>ACOAETME2022[[#This Row],[TOTAL Non-Truncated Unadjusted Claims Expenses]]-ACOAETME2022[[#This Row],[Total Claims Excluded because of Truncation]]</f>
        <v>0</v>
      </c>
      <c r="W94"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94" s="182">
        <f>ACOAETME2022[[#This Row],[TOTAL Non-Truncated Unadjusted Claims Expenses]]+ACOAETME2022[[#This Row],[TOTAL Non-Claims Expenses]]</f>
        <v>0</v>
      </c>
      <c r="Y94" s="182">
        <f>ACOAETME2022[[#This Row],[TOTAL Truncated Unadjusted Claims Expenses (A19 - A17)]]+ACOAETME2022[[#This Row],[TOTAL Non-Claims Expenses]]</f>
        <v>0</v>
      </c>
      <c r="Z94" s="540" t="str">
        <f>IFERROR(ACOAETME2022[[#This Row],[TOTAL Non-Truncated Unadjusted Expenses 
(A19+A21)]]/ACOAETME2022[[#This Row],[Member Months]], "NA")</f>
        <v>NA</v>
      </c>
      <c r="AA94" s="232" t="str">
        <f>IFERROR(ACOAETME2022[[#This Row],[TOTAL Truncated Unadjusted Expenses (A20+A21)]]/ACOAETME2022[[#This Row],[Member Months]], "NA")</f>
        <v>NA</v>
      </c>
      <c r="AB94" s="504">
        <f>IFERROR(ACOAETME2022[[#This Row],[Total Claims Excluded because of Truncation]]/ACOAETME2022[[#This Row],[Count of Members with Claims Truncated]], 0)</f>
        <v>0</v>
      </c>
      <c r="AC94" s="508">
        <f>IFERROR(ACOAETME2022[[#This Row],[Total Claims Excluded because of Truncation]]/ACOAETME2022[[#This Row],[TOTAL Non-Truncated Unadjusted Claims Expenses]], 0)</f>
        <v>0</v>
      </c>
    </row>
    <row r="95" spans="1:29" x14ac:dyDescent="0.35">
      <c r="A95" s="8"/>
      <c r="B95" s="175"/>
      <c r="C95" s="179"/>
      <c r="D95" s="180"/>
      <c r="E95" s="181"/>
      <c r="F95" s="181"/>
      <c r="G95" s="181"/>
      <c r="H95" s="181"/>
      <c r="I95" s="181"/>
      <c r="J95" s="181"/>
      <c r="K95" s="181"/>
      <c r="L95" s="181"/>
      <c r="M95" s="181"/>
      <c r="N95" s="181"/>
      <c r="O95" s="181"/>
      <c r="P95" s="181"/>
      <c r="Q95" s="181"/>
      <c r="R95" s="181"/>
      <c r="S95" s="181"/>
      <c r="T95" s="181"/>
      <c r="U95"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95" s="182">
        <f>ACOAETME2022[[#This Row],[TOTAL Non-Truncated Unadjusted Claims Expenses]]-ACOAETME2022[[#This Row],[Total Claims Excluded because of Truncation]]</f>
        <v>0</v>
      </c>
      <c r="W95"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95" s="182">
        <f>ACOAETME2022[[#This Row],[TOTAL Non-Truncated Unadjusted Claims Expenses]]+ACOAETME2022[[#This Row],[TOTAL Non-Claims Expenses]]</f>
        <v>0</v>
      </c>
      <c r="Y95" s="182">
        <f>ACOAETME2022[[#This Row],[TOTAL Truncated Unadjusted Claims Expenses (A19 - A17)]]+ACOAETME2022[[#This Row],[TOTAL Non-Claims Expenses]]</f>
        <v>0</v>
      </c>
      <c r="Z95" s="540" t="str">
        <f>IFERROR(ACOAETME2022[[#This Row],[TOTAL Non-Truncated Unadjusted Expenses 
(A19+A21)]]/ACOAETME2022[[#This Row],[Member Months]], "NA")</f>
        <v>NA</v>
      </c>
      <c r="AA95" s="232" t="str">
        <f>IFERROR(ACOAETME2022[[#This Row],[TOTAL Truncated Unadjusted Expenses (A20+A21)]]/ACOAETME2022[[#This Row],[Member Months]], "NA")</f>
        <v>NA</v>
      </c>
      <c r="AB95" s="504">
        <f>IFERROR(ACOAETME2022[[#This Row],[Total Claims Excluded because of Truncation]]/ACOAETME2022[[#This Row],[Count of Members with Claims Truncated]], 0)</f>
        <v>0</v>
      </c>
      <c r="AC95" s="508">
        <f>IFERROR(ACOAETME2022[[#This Row],[Total Claims Excluded because of Truncation]]/ACOAETME2022[[#This Row],[TOTAL Non-Truncated Unadjusted Claims Expenses]], 0)</f>
        <v>0</v>
      </c>
    </row>
    <row r="96" spans="1:29" x14ac:dyDescent="0.35">
      <c r="A96" s="8"/>
      <c r="B96" s="175"/>
      <c r="C96" s="179"/>
      <c r="D96" s="180"/>
      <c r="E96" s="181"/>
      <c r="F96" s="181"/>
      <c r="G96" s="181"/>
      <c r="H96" s="181"/>
      <c r="I96" s="181"/>
      <c r="J96" s="181"/>
      <c r="K96" s="181"/>
      <c r="L96" s="181"/>
      <c r="M96" s="181"/>
      <c r="N96" s="181"/>
      <c r="O96" s="181"/>
      <c r="P96" s="181"/>
      <c r="Q96" s="181"/>
      <c r="R96" s="181"/>
      <c r="S96" s="181"/>
      <c r="T96" s="181"/>
      <c r="U96"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96" s="182">
        <f>ACOAETME2022[[#This Row],[TOTAL Non-Truncated Unadjusted Claims Expenses]]-ACOAETME2022[[#This Row],[Total Claims Excluded because of Truncation]]</f>
        <v>0</v>
      </c>
      <c r="W96"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96" s="182">
        <f>ACOAETME2022[[#This Row],[TOTAL Non-Truncated Unadjusted Claims Expenses]]+ACOAETME2022[[#This Row],[TOTAL Non-Claims Expenses]]</f>
        <v>0</v>
      </c>
      <c r="Y96" s="182">
        <f>ACOAETME2022[[#This Row],[TOTAL Truncated Unadjusted Claims Expenses (A19 - A17)]]+ACOAETME2022[[#This Row],[TOTAL Non-Claims Expenses]]</f>
        <v>0</v>
      </c>
      <c r="Z96" s="540" t="str">
        <f>IFERROR(ACOAETME2022[[#This Row],[TOTAL Non-Truncated Unadjusted Expenses 
(A19+A21)]]/ACOAETME2022[[#This Row],[Member Months]], "NA")</f>
        <v>NA</v>
      </c>
      <c r="AA96" s="232" t="str">
        <f>IFERROR(ACOAETME2022[[#This Row],[TOTAL Truncated Unadjusted Expenses (A20+A21)]]/ACOAETME2022[[#This Row],[Member Months]], "NA")</f>
        <v>NA</v>
      </c>
      <c r="AB96" s="504">
        <f>IFERROR(ACOAETME2022[[#This Row],[Total Claims Excluded because of Truncation]]/ACOAETME2022[[#This Row],[Count of Members with Claims Truncated]], 0)</f>
        <v>0</v>
      </c>
      <c r="AC96" s="508">
        <f>IFERROR(ACOAETME2022[[#This Row],[Total Claims Excluded because of Truncation]]/ACOAETME2022[[#This Row],[TOTAL Non-Truncated Unadjusted Claims Expenses]], 0)</f>
        <v>0</v>
      </c>
    </row>
    <row r="97" spans="1:29" x14ac:dyDescent="0.35">
      <c r="A97" s="8"/>
      <c r="B97" s="175"/>
      <c r="C97" s="179"/>
      <c r="D97" s="180"/>
      <c r="E97" s="181"/>
      <c r="F97" s="181"/>
      <c r="G97" s="181"/>
      <c r="H97" s="181"/>
      <c r="I97" s="181"/>
      <c r="J97" s="181"/>
      <c r="K97" s="181"/>
      <c r="L97" s="181"/>
      <c r="M97" s="181"/>
      <c r="N97" s="181"/>
      <c r="O97" s="181"/>
      <c r="P97" s="181"/>
      <c r="Q97" s="181"/>
      <c r="R97" s="181"/>
      <c r="S97" s="181"/>
      <c r="T97" s="181"/>
      <c r="U97"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97" s="182">
        <f>ACOAETME2022[[#This Row],[TOTAL Non-Truncated Unadjusted Claims Expenses]]-ACOAETME2022[[#This Row],[Total Claims Excluded because of Truncation]]</f>
        <v>0</v>
      </c>
      <c r="W97"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97" s="182">
        <f>ACOAETME2022[[#This Row],[TOTAL Non-Truncated Unadjusted Claims Expenses]]+ACOAETME2022[[#This Row],[TOTAL Non-Claims Expenses]]</f>
        <v>0</v>
      </c>
      <c r="Y97" s="182">
        <f>ACOAETME2022[[#This Row],[TOTAL Truncated Unadjusted Claims Expenses (A19 - A17)]]+ACOAETME2022[[#This Row],[TOTAL Non-Claims Expenses]]</f>
        <v>0</v>
      </c>
      <c r="Z97" s="540" t="str">
        <f>IFERROR(ACOAETME2022[[#This Row],[TOTAL Non-Truncated Unadjusted Expenses 
(A19+A21)]]/ACOAETME2022[[#This Row],[Member Months]], "NA")</f>
        <v>NA</v>
      </c>
      <c r="AA97" s="232" t="str">
        <f>IFERROR(ACOAETME2022[[#This Row],[TOTAL Truncated Unadjusted Expenses (A20+A21)]]/ACOAETME2022[[#This Row],[Member Months]], "NA")</f>
        <v>NA</v>
      </c>
      <c r="AB97" s="504">
        <f>IFERROR(ACOAETME2022[[#This Row],[Total Claims Excluded because of Truncation]]/ACOAETME2022[[#This Row],[Count of Members with Claims Truncated]], 0)</f>
        <v>0</v>
      </c>
      <c r="AC97" s="508">
        <f>IFERROR(ACOAETME2022[[#This Row],[Total Claims Excluded because of Truncation]]/ACOAETME2022[[#This Row],[TOTAL Non-Truncated Unadjusted Claims Expenses]], 0)</f>
        <v>0</v>
      </c>
    </row>
    <row r="98" spans="1:29" x14ac:dyDescent="0.35">
      <c r="A98" s="8"/>
      <c r="B98" s="175"/>
      <c r="C98" s="179"/>
      <c r="D98" s="180"/>
      <c r="E98" s="181"/>
      <c r="F98" s="181"/>
      <c r="G98" s="181"/>
      <c r="H98" s="181"/>
      <c r="I98" s="181"/>
      <c r="J98" s="181"/>
      <c r="K98" s="181"/>
      <c r="L98" s="181"/>
      <c r="M98" s="181"/>
      <c r="N98" s="181"/>
      <c r="O98" s="181"/>
      <c r="P98" s="181"/>
      <c r="Q98" s="181"/>
      <c r="R98" s="181"/>
      <c r="S98" s="181"/>
      <c r="T98" s="181"/>
      <c r="U98"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98" s="182">
        <f>ACOAETME2022[[#This Row],[TOTAL Non-Truncated Unadjusted Claims Expenses]]-ACOAETME2022[[#This Row],[Total Claims Excluded because of Truncation]]</f>
        <v>0</v>
      </c>
      <c r="W98"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98" s="182">
        <f>ACOAETME2022[[#This Row],[TOTAL Non-Truncated Unadjusted Claims Expenses]]+ACOAETME2022[[#This Row],[TOTAL Non-Claims Expenses]]</f>
        <v>0</v>
      </c>
      <c r="Y98" s="182">
        <f>ACOAETME2022[[#This Row],[TOTAL Truncated Unadjusted Claims Expenses (A19 - A17)]]+ACOAETME2022[[#This Row],[TOTAL Non-Claims Expenses]]</f>
        <v>0</v>
      </c>
      <c r="Z98" s="540" t="str">
        <f>IFERROR(ACOAETME2022[[#This Row],[TOTAL Non-Truncated Unadjusted Expenses 
(A19+A21)]]/ACOAETME2022[[#This Row],[Member Months]], "NA")</f>
        <v>NA</v>
      </c>
      <c r="AA98" s="232" t="str">
        <f>IFERROR(ACOAETME2022[[#This Row],[TOTAL Truncated Unadjusted Expenses (A20+A21)]]/ACOAETME2022[[#This Row],[Member Months]], "NA")</f>
        <v>NA</v>
      </c>
      <c r="AB98" s="504">
        <f>IFERROR(ACOAETME2022[[#This Row],[Total Claims Excluded because of Truncation]]/ACOAETME2022[[#This Row],[Count of Members with Claims Truncated]], 0)</f>
        <v>0</v>
      </c>
      <c r="AC98" s="508">
        <f>IFERROR(ACOAETME2022[[#This Row],[Total Claims Excluded because of Truncation]]/ACOAETME2022[[#This Row],[TOTAL Non-Truncated Unadjusted Claims Expenses]], 0)</f>
        <v>0</v>
      </c>
    </row>
    <row r="99" spans="1:29" x14ac:dyDescent="0.35">
      <c r="A99" s="8"/>
      <c r="B99" s="175"/>
      <c r="C99" s="179"/>
      <c r="D99" s="180"/>
      <c r="E99" s="181"/>
      <c r="F99" s="181"/>
      <c r="G99" s="181"/>
      <c r="H99" s="181"/>
      <c r="I99" s="181"/>
      <c r="J99" s="181"/>
      <c r="K99" s="181"/>
      <c r="L99" s="181"/>
      <c r="M99" s="181"/>
      <c r="N99" s="181"/>
      <c r="O99" s="181"/>
      <c r="P99" s="181"/>
      <c r="Q99" s="181"/>
      <c r="R99" s="181"/>
      <c r="S99" s="181"/>
      <c r="T99" s="181"/>
      <c r="U99"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99" s="182">
        <f>ACOAETME2022[[#This Row],[TOTAL Non-Truncated Unadjusted Claims Expenses]]-ACOAETME2022[[#This Row],[Total Claims Excluded because of Truncation]]</f>
        <v>0</v>
      </c>
      <c r="W99"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99" s="182">
        <f>ACOAETME2022[[#This Row],[TOTAL Non-Truncated Unadjusted Claims Expenses]]+ACOAETME2022[[#This Row],[TOTAL Non-Claims Expenses]]</f>
        <v>0</v>
      </c>
      <c r="Y99" s="182">
        <f>ACOAETME2022[[#This Row],[TOTAL Truncated Unadjusted Claims Expenses (A19 - A17)]]+ACOAETME2022[[#This Row],[TOTAL Non-Claims Expenses]]</f>
        <v>0</v>
      </c>
      <c r="Z99" s="540" t="str">
        <f>IFERROR(ACOAETME2022[[#This Row],[TOTAL Non-Truncated Unadjusted Expenses 
(A19+A21)]]/ACOAETME2022[[#This Row],[Member Months]], "NA")</f>
        <v>NA</v>
      </c>
      <c r="AA99" s="232" t="str">
        <f>IFERROR(ACOAETME2022[[#This Row],[TOTAL Truncated Unadjusted Expenses (A20+A21)]]/ACOAETME2022[[#This Row],[Member Months]], "NA")</f>
        <v>NA</v>
      </c>
      <c r="AB99" s="504">
        <f>IFERROR(ACOAETME2022[[#This Row],[Total Claims Excluded because of Truncation]]/ACOAETME2022[[#This Row],[Count of Members with Claims Truncated]], 0)</f>
        <v>0</v>
      </c>
      <c r="AC99" s="508">
        <f>IFERROR(ACOAETME2022[[#This Row],[Total Claims Excluded because of Truncation]]/ACOAETME2022[[#This Row],[TOTAL Non-Truncated Unadjusted Claims Expenses]], 0)</f>
        <v>0</v>
      </c>
    </row>
    <row r="100" spans="1:29" x14ac:dyDescent="0.35">
      <c r="A100" s="8"/>
      <c r="B100" s="175"/>
      <c r="C100" s="179"/>
      <c r="D100" s="180"/>
      <c r="E100" s="181"/>
      <c r="F100" s="181"/>
      <c r="G100" s="181"/>
      <c r="H100" s="181"/>
      <c r="I100" s="181"/>
      <c r="J100" s="181"/>
      <c r="K100" s="181"/>
      <c r="L100" s="181"/>
      <c r="M100" s="181"/>
      <c r="N100" s="181"/>
      <c r="O100" s="181"/>
      <c r="P100" s="181"/>
      <c r="Q100" s="181"/>
      <c r="R100" s="181"/>
      <c r="S100" s="181"/>
      <c r="T100" s="181"/>
      <c r="U100"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00" s="182">
        <f>ACOAETME2022[[#This Row],[TOTAL Non-Truncated Unadjusted Claims Expenses]]-ACOAETME2022[[#This Row],[Total Claims Excluded because of Truncation]]</f>
        <v>0</v>
      </c>
      <c r="W100"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00" s="182">
        <f>ACOAETME2022[[#This Row],[TOTAL Non-Truncated Unadjusted Claims Expenses]]+ACOAETME2022[[#This Row],[TOTAL Non-Claims Expenses]]</f>
        <v>0</v>
      </c>
      <c r="Y100" s="182">
        <f>ACOAETME2022[[#This Row],[TOTAL Truncated Unadjusted Claims Expenses (A19 - A17)]]+ACOAETME2022[[#This Row],[TOTAL Non-Claims Expenses]]</f>
        <v>0</v>
      </c>
      <c r="Z100" s="540" t="str">
        <f>IFERROR(ACOAETME2022[[#This Row],[TOTAL Non-Truncated Unadjusted Expenses 
(A19+A21)]]/ACOAETME2022[[#This Row],[Member Months]], "NA")</f>
        <v>NA</v>
      </c>
      <c r="AA100" s="232" t="str">
        <f>IFERROR(ACOAETME2022[[#This Row],[TOTAL Truncated Unadjusted Expenses (A20+A21)]]/ACOAETME2022[[#This Row],[Member Months]], "NA")</f>
        <v>NA</v>
      </c>
      <c r="AB100" s="504">
        <f>IFERROR(ACOAETME2022[[#This Row],[Total Claims Excluded because of Truncation]]/ACOAETME2022[[#This Row],[Count of Members with Claims Truncated]], 0)</f>
        <v>0</v>
      </c>
      <c r="AC100" s="508">
        <f>IFERROR(ACOAETME2022[[#This Row],[Total Claims Excluded because of Truncation]]/ACOAETME2022[[#This Row],[TOTAL Non-Truncated Unadjusted Claims Expenses]], 0)</f>
        <v>0</v>
      </c>
    </row>
    <row r="101" spans="1:29" x14ac:dyDescent="0.35">
      <c r="A101" s="8"/>
      <c r="B101" s="175"/>
      <c r="C101" s="179"/>
      <c r="D101" s="180"/>
      <c r="E101" s="181"/>
      <c r="F101" s="181"/>
      <c r="G101" s="181"/>
      <c r="H101" s="181"/>
      <c r="I101" s="181"/>
      <c r="J101" s="181"/>
      <c r="K101" s="181"/>
      <c r="L101" s="181"/>
      <c r="M101" s="181"/>
      <c r="N101" s="181"/>
      <c r="O101" s="181"/>
      <c r="P101" s="181"/>
      <c r="Q101" s="181"/>
      <c r="R101" s="181"/>
      <c r="S101" s="181"/>
      <c r="T101" s="181"/>
      <c r="U101"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01" s="182">
        <f>ACOAETME2022[[#This Row],[TOTAL Non-Truncated Unadjusted Claims Expenses]]-ACOAETME2022[[#This Row],[Total Claims Excluded because of Truncation]]</f>
        <v>0</v>
      </c>
      <c r="W101"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01" s="182">
        <f>ACOAETME2022[[#This Row],[TOTAL Non-Truncated Unadjusted Claims Expenses]]+ACOAETME2022[[#This Row],[TOTAL Non-Claims Expenses]]</f>
        <v>0</v>
      </c>
      <c r="Y101" s="182">
        <f>ACOAETME2022[[#This Row],[TOTAL Truncated Unadjusted Claims Expenses (A19 - A17)]]+ACOAETME2022[[#This Row],[TOTAL Non-Claims Expenses]]</f>
        <v>0</v>
      </c>
      <c r="Z101" s="540" t="str">
        <f>IFERROR(ACOAETME2022[[#This Row],[TOTAL Non-Truncated Unadjusted Expenses 
(A19+A21)]]/ACOAETME2022[[#This Row],[Member Months]], "NA")</f>
        <v>NA</v>
      </c>
      <c r="AA101" s="232" t="str">
        <f>IFERROR(ACOAETME2022[[#This Row],[TOTAL Truncated Unadjusted Expenses (A20+A21)]]/ACOAETME2022[[#This Row],[Member Months]], "NA")</f>
        <v>NA</v>
      </c>
      <c r="AB101" s="504">
        <f>IFERROR(ACOAETME2022[[#This Row],[Total Claims Excluded because of Truncation]]/ACOAETME2022[[#This Row],[Count of Members with Claims Truncated]], 0)</f>
        <v>0</v>
      </c>
      <c r="AC101" s="508">
        <f>IFERROR(ACOAETME2022[[#This Row],[Total Claims Excluded because of Truncation]]/ACOAETME2022[[#This Row],[TOTAL Non-Truncated Unadjusted Claims Expenses]], 0)</f>
        <v>0</v>
      </c>
    </row>
    <row r="102" spans="1:29" x14ac:dyDescent="0.35">
      <c r="A102" s="8"/>
      <c r="B102" s="175"/>
      <c r="C102" s="179"/>
      <c r="D102" s="180"/>
      <c r="E102" s="181"/>
      <c r="F102" s="181"/>
      <c r="G102" s="181"/>
      <c r="H102" s="181"/>
      <c r="I102" s="181"/>
      <c r="J102" s="181"/>
      <c r="K102" s="181"/>
      <c r="L102" s="181"/>
      <c r="M102" s="181"/>
      <c r="N102" s="181"/>
      <c r="O102" s="181"/>
      <c r="P102" s="181"/>
      <c r="Q102" s="181"/>
      <c r="R102" s="181"/>
      <c r="S102" s="181"/>
      <c r="T102" s="181"/>
      <c r="U102"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02" s="182">
        <f>ACOAETME2022[[#This Row],[TOTAL Non-Truncated Unadjusted Claims Expenses]]-ACOAETME2022[[#This Row],[Total Claims Excluded because of Truncation]]</f>
        <v>0</v>
      </c>
      <c r="W102"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02" s="182">
        <f>ACOAETME2022[[#This Row],[TOTAL Non-Truncated Unadjusted Claims Expenses]]+ACOAETME2022[[#This Row],[TOTAL Non-Claims Expenses]]</f>
        <v>0</v>
      </c>
      <c r="Y102" s="182">
        <f>ACOAETME2022[[#This Row],[TOTAL Truncated Unadjusted Claims Expenses (A19 - A17)]]+ACOAETME2022[[#This Row],[TOTAL Non-Claims Expenses]]</f>
        <v>0</v>
      </c>
      <c r="Z102" s="540" t="str">
        <f>IFERROR(ACOAETME2022[[#This Row],[TOTAL Non-Truncated Unadjusted Expenses 
(A19+A21)]]/ACOAETME2022[[#This Row],[Member Months]], "NA")</f>
        <v>NA</v>
      </c>
      <c r="AA102" s="232" t="str">
        <f>IFERROR(ACOAETME2022[[#This Row],[TOTAL Truncated Unadjusted Expenses (A20+A21)]]/ACOAETME2022[[#This Row],[Member Months]], "NA")</f>
        <v>NA</v>
      </c>
      <c r="AB102" s="504">
        <f>IFERROR(ACOAETME2022[[#This Row],[Total Claims Excluded because of Truncation]]/ACOAETME2022[[#This Row],[Count of Members with Claims Truncated]], 0)</f>
        <v>0</v>
      </c>
      <c r="AC102" s="508">
        <f>IFERROR(ACOAETME2022[[#This Row],[Total Claims Excluded because of Truncation]]/ACOAETME2022[[#This Row],[TOTAL Non-Truncated Unadjusted Claims Expenses]], 0)</f>
        <v>0</v>
      </c>
    </row>
    <row r="103" spans="1:29" x14ac:dyDescent="0.35">
      <c r="A103" s="8"/>
      <c r="B103" s="175"/>
      <c r="C103" s="179"/>
      <c r="D103" s="180"/>
      <c r="E103" s="181"/>
      <c r="F103" s="181"/>
      <c r="G103" s="181"/>
      <c r="H103" s="181"/>
      <c r="I103" s="181"/>
      <c r="J103" s="181"/>
      <c r="K103" s="181"/>
      <c r="L103" s="181"/>
      <c r="M103" s="181"/>
      <c r="N103" s="181"/>
      <c r="O103" s="181"/>
      <c r="P103" s="181"/>
      <c r="Q103" s="181"/>
      <c r="R103" s="181"/>
      <c r="S103" s="181"/>
      <c r="T103" s="181"/>
      <c r="U103"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03" s="182">
        <f>ACOAETME2022[[#This Row],[TOTAL Non-Truncated Unadjusted Claims Expenses]]-ACOAETME2022[[#This Row],[Total Claims Excluded because of Truncation]]</f>
        <v>0</v>
      </c>
      <c r="W103"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03" s="182">
        <f>ACOAETME2022[[#This Row],[TOTAL Non-Truncated Unadjusted Claims Expenses]]+ACOAETME2022[[#This Row],[TOTAL Non-Claims Expenses]]</f>
        <v>0</v>
      </c>
      <c r="Y103" s="182">
        <f>ACOAETME2022[[#This Row],[TOTAL Truncated Unadjusted Claims Expenses (A19 - A17)]]+ACOAETME2022[[#This Row],[TOTAL Non-Claims Expenses]]</f>
        <v>0</v>
      </c>
      <c r="Z103" s="540" t="str">
        <f>IFERROR(ACOAETME2022[[#This Row],[TOTAL Non-Truncated Unadjusted Expenses 
(A19+A21)]]/ACOAETME2022[[#This Row],[Member Months]], "NA")</f>
        <v>NA</v>
      </c>
      <c r="AA103" s="232" t="str">
        <f>IFERROR(ACOAETME2022[[#This Row],[TOTAL Truncated Unadjusted Expenses (A20+A21)]]/ACOAETME2022[[#This Row],[Member Months]], "NA")</f>
        <v>NA</v>
      </c>
      <c r="AB103" s="504">
        <f>IFERROR(ACOAETME2022[[#This Row],[Total Claims Excluded because of Truncation]]/ACOAETME2022[[#This Row],[Count of Members with Claims Truncated]], 0)</f>
        <v>0</v>
      </c>
      <c r="AC103" s="508">
        <f>IFERROR(ACOAETME2022[[#This Row],[Total Claims Excluded because of Truncation]]/ACOAETME2022[[#This Row],[TOTAL Non-Truncated Unadjusted Claims Expenses]], 0)</f>
        <v>0</v>
      </c>
    </row>
    <row r="104" spans="1:29" x14ac:dyDescent="0.35">
      <c r="A104" s="8"/>
      <c r="B104" s="175"/>
      <c r="C104" s="179"/>
      <c r="D104" s="180"/>
      <c r="E104" s="181"/>
      <c r="F104" s="181"/>
      <c r="G104" s="181"/>
      <c r="H104" s="181"/>
      <c r="I104" s="181"/>
      <c r="J104" s="181"/>
      <c r="K104" s="181"/>
      <c r="L104" s="181"/>
      <c r="M104" s="181"/>
      <c r="N104" s="181"/>
      <c r="O104" s="181"/>
      <c r="P104" s="181"/>
      <c r="Q104" s="181"/>
      <c r="R104" s="181"/>
      <c r="S104" s="181"/>
      <c r="T104" s="181"/>
      <c r="U104"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04" s="182">
        <f>ACOAETME2022[[#This Row],[TOTAL Non-Truncated Unadjusted Claims Expenses]]-ACOAETME2022[[#This Row],[Total Claims Excluded because of Truncation]]</f>
        <v>0</v>
      </c>
      <c r="W104"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04" s="182">
        <f>ACOAETME2022[[#This Row],[TOTAL Non-Truncated Unadjusted Claims Expenses]]+ACOAETME2022[[#This Row],[TOTAL Non-Claims Expenses]]</f>
        <v>0</v>
      </c>
      <c r="Y104" s="182">
        <f>ACOAETME2022[[#This Row],[TOTAL Truncated Unadjusted Claims Expenses (A19 - A17)]]+ACOAETME2022[[#This Row],[TOTAL Non-Claims Expenses]]</f>
        <v>0</v>
      </c>
      <c r="Z104" s="540" t="str">
        <f>IFERROR(ACOAETME2022[[#This Row],[TOTAL Non-Truncated Unadjusted Expenses 
(A19+A21)]]/ACOAETME2022[[#This Row],[Member Months]], "NA")</f>
        <v>NA</v>
      </c>
      <c r="AA104" s="232" t="str">
        <f>IFERROR(ACOAETME2022[[#This Row],[TOTAL Truncated Unadjusted Expenses (A20+A21)]]/ACOAETME2022[[#This Row],[Member Months]], "NA")</f>
        <v>NA</v>
      </c>
      <c r="AB104" s="504">
        <f>IFERROR(ACOAETME2022[[#This Row],[Total Claims Excluded because of Truncation]]/ACOAETME2022[[#This Row],[Count of Members with Claims Truncated]], 0)</f>
        <v>0</v>
      </c>
      <c r="AC104" s="508">
        <f>IFERROR(ACOAETME2022[[#This Row],[Total Claims Excluded because of Truncation]]/ACOAETME2022[[#This Row],[TOTAL Non-Truncated Unadjusted Claims Expenses]], 0)</f>
        <v>0</v>
      </c>
    </row>
    <row r="105" spans="1:29" x14ac:dyDescent="0.35">
      <c r="A105" s="8"/>
      <c r="B105" s="175"/>
      <c r="C105" s="179"/>
      <c r="D105" s="180"/>
      <c r="E105" s="181"/>
      <c r="F105" s="181"/>
      <c r="G105" s="181"/>
      <c r="H105" s="181"/>
      <c r="I105" s="181"/>
      <c r="J105" s="181"/>
      <c r="K105" s="181"/>
      <c r="L105" s="181"/>
      <c r="M105" s="181"/>
      <c r="N105" s="181"/>
      <c r="O105" s="181"/>
      <c r="P105" s="181"/>
      <c r="Q105" s="181"/>
      <c r="R105" s="181"/>
      <c r="S105" s="181"/>
      <c r="T105" s="181"/>
      <c r="U105"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05" s="182">
        <f>ACOAETME2022[[#This Row],[TOTAL Non-Truncated Unadjusted Claims Expenses]]-ACOAETME2022[[#This Row],[Total Claims Excluded because of Truncation]]</f>
        <v>0</v>
      </c>
      <c r="W105"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05" s="182">
        <f>ACOAETME2022[[#This Row],[TOTAL Non-Truncated Unadjusted Claims Expenses]]+ACOAETME2022[[#This Row],[TOTAL Non-Claims Expenses]]</f>
        <v>0</v>
      </c>
      <c r="Y105" s="182">
        <f>ACOAETME2022[[#This Row],[TOTAL Truncated Unadjusted Claims Expenses (A19 - A17)]]+ACOAETME2022[[#This Row],[TOTAL Non-Claims Expenses]]</f>
        <v>0</v>
      </c>
      <c r="Z105" s="540" t="str">
        <f>IFERROR(ACOAETME2022[[#This Row],[TOTAL Non-Truncated Unadjusted Expenses 
(A19+A21)]]/ACOAETME2022[[#This Row],[Member Months]], "NA")</f>
        <v>NA</v>
      </c>
      <c r="AA105" s="232" t="str">
        <f>IFERROR(ACOAETME2022[[#This Row],[TOTAL Truncated Unadjusted Expenses (A20+A21)]]/ACOAETME2022[[#This Row],[Member Months]], "NA")</f>
        <v>NA</v>
      </c>
      <c r="AB105" s="504">
        <f>IFERROR(ACOAETME2022[[#This Row],[Total Claims Excluded because of Truncation]]/ACOAETME2022[[#This Row],[Count of Members with Claims Truncated]], 0)</f>
        <v>0</v>
      </c>
      <c r="AC105" s="508">
        <f>IFERROR(ACOAETME2022[[#This Row],[Total Claims Excluded because of Truncation]]/ACOAETME2022[[#This Row],[TOTAL Non-Truncated Unadjusted Claims Expenses]], 0)</f>
        <v>0</v>
      </c>
    </row>
    <row r="106" spans="1:29" x14ac:dyDescent="0.35">
      <c r="A106" s="8"/>
      <c r="B106" s="175"/>
      <c r="C106" s="179"/>
      <c r="D106" s="180"/>
      <c r="E106" s="181"/>
      <c r="F106" s="181"/>
      <c r="G106" s="181"/>
      <c r="H106" s="181"/>
      <c r="I106" s="181"/>
      <c r="J106" s="181"/>
      <c r="K106" s="181"/>
      <c r="L106" s="181"/>
      <c r="M106" s="181"/>
      <c r="N106" s="181"/>
      <c r="O106" s="181"/>
      <c r="P106" s="181"/>
      <c r="Q106" s="181"/>
      <c r="R106" s="181"/>
      <c r="S106" s="181"/>
      <c r="T106" s="181"/>
      <c r="U106"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06" s="182">
        <f>ACOAETME2022[[#This Row],[TOTAL Non-Truncated Unadjusted Claims Expenses]]-ACOAETME2022[[#This Row],[Total Claims Excluded because of Truncation]]</f>
        <v>0</v>
      </c>
      <c r="W106"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06" s="182">
        <f>ACOAETME2022[[#This Row],[TOTAL Non-Truncated Unadjusted Claims Expenses]]+ACOAETME2022[[#This Row],[TOTAL Non-Claims Expenses]]</f>
        <v>0</v>
      </c>
      <c r="Y106" s="182">
        <f>ACOAETME2022[[#This Row],[TOTAL Truncated Unadjusted Claims Expenses (A19 - A17)]]+ACOAETME2022[[#This Row],[TOTAL Non-Claims Expenses]]</f>
        <v>0</v>
      </c>
      <c r="Z106" s="540" t="str">
        <f>IFERROR(ACOAETME2022[[#This Row],[TOTAL Non-Truncated Unadjusted Expenses 
(A19+A21)]]/ACOAETME2022[[#This Row],[Member Months]], "NA")</f>
        <v>NA</v>
      </c>
      <c r="AA106" s="232" t="str">
        <f>IFERROR(ACOAETME2022[[#This Row],[TOTAL Truncated Unadjusted Expenses (A20+A21)]]/ACOAETME2022[[#This Row],[Member Months]], "NA")</f>
        <v>NA</v>
      </c>
      <c r="AB106" s="504">
        <f>IFERROR(ACOAETME2022[[#This Row],[Total Claims Excluded because of Truncation]]/ACOAETME2022[[#This Row],[Count of Members with Claims Truncated]], 0)</f>
        <v>0</v>
      </c>
      <c r="AC106" s="508">
        <f>IFERROR(ACOAETME2022[[#This Row],[Total Claims Excluded because of Truncation]]/ACOAETME2022[[#This Row],[TOTAL Non-Truncated Unadjusted Claims Expenses]], 0)</f>
        <v>0</v>
      </c>
    </row>
    <row r="107" spans="1:29" x14ac:dyDescent="0.35">
      <c r="A107" s="8"/>
      <c r="B107" s="175"/>
      <c r="C107" s="179"/>
      <c r="D107" s="180"/>
      <c r="E107" s="181"/>
      <c r="F107" s="181"/>
      <c r="G107" s="181"/>
      <c r="H107" s="181"/>
      <c r="I107" s="181"/>
      <c r="J107" s="181"/>
      <c r="K107" s="181"/>
      <c r="L107" s="181"/>
      <c r="M107" s="181"/>
      <c r="N107" s="181"/>
      <c r="O107" s="181"/>
      <c r="P107" s="181"/>
      <c r="Q107" s="181"/>
      <c r="R107" s="181"/>
      <c r="S107" s="181"/>
      <c r="T107" s="181"/>
      <c r="U107"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07" s="182">
        <f>ACOAETME2022[[#This Row],[TOTAL Non-Truncated Unadjusted Claims Expenses]]-ACOAETME2022[[#This Row],[Total Claims Excluded because of Truncation]]</f>
        <v>0</v>
      </c>
      <c r="W107"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07" s="182">
        <f>ACOAETME2022[[#This Row],[TOTAL Non-Truncated Unadjusted Claims Expenses]]+ACOAETME2022[[#This Row],[TOTAL Non-Claims Expenses]]</f>
        <v>0</v>
      </c>
      <c r="Y107" s="182">
        <f>ACOAETME2022[[#This Row],[TOTAL Truncated Unadjusted Claims Expenses (A19 - A17)]]+ACOAETME2022[[#This Row],[TOTAL Non-Claims Expenses]]</f>
        <v>0</v>
      </c>
      <c r="Z107" s="540" t="str">
        <f>IFERROR(ACOAETME2022[[#This Row],[TOTAL Non-Truncated Unadjusted Expenses 
(A19+A21)]]/ACOAETME2022[[#This Row],[Member Months]], "NA")</f>
        <v>NA</v>
      </c>
      <c r="AA107" s="232" t="str">
        <f>IFERROR(ACOAETME2022[[#This Row],[TOTAL Truncated Unadjusted Expenses (A20+A21)]]/ACOAETME2022[[#This Row],[Member Months]], "NA")</f>
        <v>NA</v>
      </c>
      <c r="AB107" s="504">
        <f>IFERROR(ACOAETME2022[[#This Row],[Total Claims Excluded because of Truncation]]/ACOAETME2022[[#This Row],[Count of Members with Claims Truncated]], 0)</f>
        <v>0</v>
      </c>
      <c r="AC107" s="508">
        <f>IFERROR(ACOAETME2022[[#This Row],[Total Claims Excluded because of Truncation]]/ACOAETME2022[[#This Row],[TOTAL Non-Truncated Unadjusted Claims Expenses]], 0)</f>
        <v>0</v>
      </c>
    </row>
    <row r="108" spans="1:29" x14ac:dyDescent="0.35">
      <c r="A108" s="8"/>
      <c r="B108" s="175"/>
      <c r="C108" s="179"/>
      <c r="D108" s="180"/>
      <c r="E108" s="181"/>
      <c r="F108" s="181"/>
      <c r="G108" s="181"/>
      <c r="H108" s="181"/>
      <c r="I108" s="181"/>
      <c r="J108" s="181"/>
      <c r="K108" s="181"/>
      <c r="L108" s="181"/>
      <c r="M108" s="181"/>
      <c r="N108" s="181"/>
      <c r="O108" s="181"/>
      <c r="P108" s="181"/>
      <c r="Q108" s="181"/>
      <c r="R108" s="181"/>
      <c r="S108" s="181"/>
      <c r="T108" s="181"/>
      <c r="U108"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08" s="182">
        <f>ACOAETME2022[[#This Row],[TOTAL Non-Truncated Unadjusted Claims Expenses]]-ACOAETME2022[[#This Row],[Total Claims Excluded because of Truncation]]</f>
        <v>0</v>
      </c>
      <c r="W108"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08" s="182">
        <f>ACOAETME2022[[#This Row],[TOTAL Non-Truncated Unadjusted Claims Expenses]]+ACOAETME2022[[#This Row],[TOTAL Non-Claims Expenses]]</f>
        <v>0</v>
      </c>
      <c r="Y108" s="182">
        <f>ACOAETME2022[[#This Row],[TOTAL Truncated Unadjusted Claims Expenses (A19 - A17)]]+ACOAETME2022[[#This Row],[TOTAL Non-Claims Expenses]]</f>
        <v>0</v>
      </c>
      <c r="Z108" s="540" t="str">
        <f>IFERROR(ACOAETME2022[[#This Row],[TOTAL Non-Truncated Unadjusted Expenses 
(A19+A21)]]/ACOAETME2022[[#This Row],[Member Months]], "NA")</f>
        <v>NA</v>
      </c>
      <c r="AA108" s="232" t="str">
        <f>IFERROR(ACOAETME2022[[#This Row],[TOTAL Truncated Unadjusted Expenses (A20+A21)]]/ACOAETME2022[[#This Row],[Member Months]], "NA")</f>
        <v>NA</v>
      </c>
      <c r="AB108" s="504">
        <f>IFERROR(ACOAETME2022[[#This Row],[Total Claims Excluded because of Truncation]]/ACOAETME2022[[#This Row],[Count of Members with Claims Truncated]], 0)</f>
        <v>0</v>
      </c>
      <c r="AC108" s="508">
        <f>IFERROR(ACOAETME2022[[#This Row],[Total Claims Excluded because of Truncation]]/ACOAETME2022[[#This Row],[TOTAL Non-Truncated Unadjusted Claims Expenses]], 0)</f>
        <v>0</v>
      </c>
    </row>
    <row r="109" spans="1:29" x14ac:dyDescent="0.35">
      <c r="A109" s="8"/>
      <c r="B109" s="175"/>
      <c r="C109" s="179"/>
      <c r="D109" s="180"/>
      <c r="E109" s="181"/>
      <c r="F109" s="181"/>
      <c r="G109" s="181"/>
      <c r="H109" s="181"/>
      <c r="I109" s="181"/>
      <c r="J109" s="181"/>
      <c r="K109" s="181"/>
      <c r="L109" s="181"/>
      <c r="M109" s="181"/>
      <c r="N109" s="181"/>
      <c r="O109" s="181"/>
      <c r="P109" s="181"/>
      <c r="Q109" s="181"/>
      <c r="R109" s="181"/>
      <c r="S109" s="181"/>
      <c r="T109" s="181"/>
      <c r="U109"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09" s="182">
        <f>ACOAETME2022[[#This Row],[TOTAL Non-Truncated Unadjusted Claims Expenses]]-ACOAETME2022[[#This Row],[Total Claims Excluded because of Truncation]]</f>
        <v>0</v>
      </c>
      <c r="W109"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09" s="182">
        <f>ACOAETME2022[[#This Row],[TOTAL Non-Truncated Unadjusted Claims Expenses]]+ACOAETME2022[[#This Row],[TOTAL Non-Claims Expenses]]</f>
        <v>0</v>
      </c>
      <c r="Y109" s="182">
        <f>ACOAETME2022[[#This Row],[TOTAL Truncated Unadjusted Claims Expenses (A19 - A17)]]+ACOAETME2022[[#This Row],[TOTAL Non-Claims Expenses]]</f>
        <v>0</v>
      </c>
      <c r="Z109" s="540" t="str">
        <f>IFERROR(ACOAETME2022[[#This Row],[TOTAL Non-Truncated Unadjusted Expenses 
(A19+A21)]]/ACOAETME2022[[#This Row],[Member Months]], "NA")</f>
        <v>NA</v>
      </c>
      <c r="AA109" s="232" t="str">
        <f>IFERROR(ACOAETME2022[[#This Row],[TOTAL Truncated Unadjusted Expenses (A20+A21)]]/ACOAETME2022[[#This Row],[Member Months]], "NA")</f>
        <v>NA</v>
      </c>
      <c r="AB109" s="504">
        <f>IFERROR(ACOAETME2022[[#This Row],[Total Claims Excluded because of Truncation]]/ACOAETME2022[[#This Row],[Count of Members with Claims Truncated]], 0)</f>
        <v>0</v>
      </c>
      <c r="AC109" s="508">
        <f>IFERROR(ACOAETME2022[[#This Row],[Total Claims Excluded because of Truncation]]/ACOAETME2022[[#This Row],[TOTAL Non-Truncated Unadjusted Claims Expenses]], 0)</f>
        <v>0</v>
      </c>
    </row>
    <row r="110" spans="1:29" x14ac:dyDescent="0.35">
      <c r="A110" s="8"/>
      <c r="B110" s="175"/>
      <c r="C110" s="179"/>
      <c r="D110" s="180"/>
      <c r="E110" s="181"/>
      <c r="F110" s="181"/>
      <c r="G110" s="181"/>
      <c r="H110" s="181"/>
      <c r="I110" s="181"/>
      <c r="J110" s="181"/>
      <c r="K110" s="181"/>
      <c r="L110" s="181"/>
      <c r="M110" s="181"/>
      <c r="N110" s="181"/>
      <c r="O110" s="181"/>
      <c r="P110" s="181"/>
      <c r="Q110" s="181"/>
      <c r="R110" s="181"/>
      <c r="S110" s="181"/>
      <c r="T110" s="181"/>
      <c r="U110"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10" s="182">
        <f>ACOAETME2022[[#This Row],[TOTAL Non-Truncated Unadjusted Claims Expenses]]-ACOAETME2022[[#This Row],[Total Claims Excluded because of Truncation]]</f>
        <v>0</v>
      </c>
      <c r="W110"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10" s="182">
        <f>ACOAETME2022[[#This Row],[TOTAL Non-Truncated Unadjusted Claims Expenses]]+ACOAETME2022[[#This Row],[TOTAL Non-Claims Expenses]]</f>
        <v>0</v>
      </c>
      <c r="Y110" s="182">
        <f>ACOAETME2022[[#This Row],[TOTAL Truncated Unadjusted Claims Expenses (A19 - A17)]]+ACOAETME2022[[#This Row],[TOTAL Non-Claims Expenses]]</f>
        <v>0</v>
      </c>
      <c r="Z110" s="540" t="str">
        <f>IFERROR(ACOAETME2022[[#This Row],[TOTAL Non-Truncated Unadjusted Expenses 
(A19+A21)]]/ACOAETME2022[[#This Row],[Member Months]], "NA")</f>
        <v>NA</v>
      </c>
      <c r="AA110" s="232" t="str">
        <f>IFERROR(ACOAETME2022[[#This Row],[TOTAL Truncated Unadjusted Expenses (A20+A21)]]/ACOAETME2022[[#This Row],[Member Months]], "NA")</f>
        <v>NA</v>
      </c>
      <c r="AB110" s="504">
        <f>IFERROR(ACOAETME2022[[#This Row],[Total Claims Excluded because of Truncation]]/ACOAETME2022[[#This Row],[Count of Members with Claims Truncated]], 0)</f>
        <v>0</v>
      </c>
      <c r="AC110" s="508">
        <f>IFERROR(ACOAETME2022[[#This Row],[Total Claims Excluded because of Truncation]]/ACOAETME2022[[#This Row],[TOTAL Non-Truncated Unadjusted Claims Expenses]], 0)</f>
        <v>0</v>
      </c>
    </row>
    <row r="111" spans="1:29" x14ac:dyDescent="0.35">
      <c r="A111" s="8"/>
      <c r="B111" s="175"/>
      <c r="C111" s="179"/>
      <c r="D111" s="180"/>
      <c r="E111" s="181"/>
      <c r="F111" s="181"/>
      <c r="G111" s="181"/>
      <c r="H111" s="181"/>
      <c r="I111" s="181"/>
      <c r="J111" s="181"/>
      <c r="K111" s="181"/>
      <c r="L111" s="181"/>
      <c r="M111" s="181"/>
      <c r="N111" s="181"/>
      <c r="O111" s="181"/>
      <c r="P111" s="181"/>
      <c r="Q111" s="181"/>
      <c r="R111" s="181"/>
      <c r="S111" s="181"/>
      <c r="T111" s="181"/>
      <c r="U111"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11" s="182">
        <f>ACOAETME2022[[#This Row],[TOTAL Non-Truncated Unadjusted Claims Expenses]]-ACOAETME2022[[#This Row],[Total Claims Excluded because of Truncation]]</f>
        <v>0</v>
      </c>
      <c r="W111"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11" s="182">
        <f>ACOAETME2022[[#This Row],[TOTAL Non-Truncated Unadjusted Claims Expenses]]+ACOAETME2022[[#This Row],[TOTAL Non-Claims Expenses]]</f>
        <v>0</v>
      </c>
      <c r="Y111" s="182">
        <f>ACOAETME2022[[#This Row],[TOTAL Truncated Unadjusted Claims Expenses (A19 - A17)]]+ACOAETME2022[[#This Row],[TOTAL Non-Claims Expenses]]</f>
        <v>0</v>
      </c>
      <c r="Z111" s="540" t="str">
        <f>IFERROR(ACOAETME2022[[#This Row],[TOTAL Non-Truncated Unadjusted Expenses 
(A19+A21)]]/ACOAETME2022[[#This Row],[Member Months]], "NA")</f>
        <v>NA</v>
      </c>
      <c r="AA111" s="232" t="str">
        <f>IFERROR(ACOAETME2022[[#This Row],[TOTAL Truncated Unadjusted Expenses (A20+A21)]]/ACOAETME2022[[#This Row],[Member Months]], "NA")</f>
        <v>NA</v>
      </c>
      <c r="AB111" s="504">
        <f>IFERROR(ACOAETME2022[[#This Row],[Total Claims Excluded because of Truncation]]/ACOAETME2022[[#This Row],[Count of Members with Claims Truncated]], 0)</f>
        <v>0</v>
      </c>
      <c r="AC111" s="508">
        <f>IFERROR(ACOAETME2022[[#This Row],[Total Claims Excluded because of Truncation]]/ACOAETME2022[[#This Row],[TOTAL Non-Truncated Unadjusted Claims Expenses]], 0)</f>
        <v>0</v>
      </c>
    </row>
    <row r="112" spans="1:29" x14ac:dyDescent="0.35">
      <c r="A112" s="8"/>
      <c r="B112" s="175"/>
      <c r="C112" s="179"/>
      <c r="D112" s="180"/>
      <c r="E112" s="181"/>
      <c r="F112" s="181"/>
      <c r="G112" s="181"/>
      <c r="H112" s="181"/>
      <c r="I112" s="181"/>
      <c r="J112" s="181"/>
      <c r="K112" s="181"/>
      <c r="L112" s="181"/>
      <c r="M112" s="181"/>
      <c r="N112" s="181"/>
      <c r="O112" s="181"/>
      <c r="P112" s="181"/>
      <c r="Q112" s="181"/>
      <c r="R112" s="181"/>
      <c r="S112" s="181"/>
      <c r="T112" s="181"/>
      <c r="U112"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12" s="182">
        <f>ACOAETME2022[[#This Row],[TOTAL Non-Truncated Unadjusted Claims Expenses]]-ACOAETME2022[[#This Row],[Total Claims Excluded because of Truncation]]</f>
        <v>0</v>
      </c>
      <c r="W112"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12" s="182">
        <f>ACOAETME2022[[#This Row],[TOTAL Non-Truncated Unadjusted Claims Expenses]]+ACOAETME2022[[#This Row],[TOTAL Non-Claims Expenses]]</f>
        <v>0</v>
      </c>
      <c r="Y112" s="182">
        <f>ACOAETME2022[[#This Row],[TOTAL Truncated Unadjusted Claims Expenses (A19 - A17)]]+ACOAETME2022[[#This Row],[TOTAL Non-Claims Expenses]]</f>
        <v>0</v>
      </c>
      <c r="Z112" s="540" t="str">
        <f>IFERROR(ACOAETME2022[[#This Row],[TOTAL Non-Truncated Unadjusted Expenses 
(A19+A21)]]/ACOAETME2022[[#This Row],[Member Months]], "NA")</f>
        <v>NA</v>
      </c>
      <c r="AA112" s="232" t="str">
        <f>IFERROR(ACOAETME2022[[#This Row],[TOTAL Truncated Unadjusted Expenses (A20+A21)]]/ACOAETME2022[[#This Row],[Member Months]], "NA")</f>
        <v>NA</v>
      </c>
      <c r="AB112" s="504">
        <f>IFERROR(ACOAETME2022[[#This Row],[Total Claims Excluded because of Truncation]]/ACOAETME2022[[#This Row],[Count of Members with Claims Truncated]], 0)</f>
        <v>0</v>
      </c>
      <c r="AC112" s="508">
        <f>IFERROR(ACOAETME2022[[#This Row],[Total Claims Excluded because of Truncation]]/ACOAETME2022[[#This Row],[TOTAL Non-Truncated Unadjusted Claims Expenses]], 0)</f>
        <v>0</v>
      </c>
    </row>
    <row r="113" spans="1:29" x14ac:dyDescent="0.35">
      <c r="A113" s="8"/>
      <c r="B113" s="175"/>
      <c r="C113" s="179"/>
      <c r="D113" s="180"/>
      <c r="E113" s="181"/>
      <c r="F113" s="181"/>
      <c r="G113" s="181"/>
      <c r="H113" s="181"/>
      <c r="I113" s="181"/>
      <c r="J113" s="181"/>
      <c r="K113" s="181"/>
      <c r="L113" s="181"/>
      <c r="M113" s="181"/>
      <c r="N113" s="181"/>
      <c r="O113" s="181"/>
      <c r="P113" s="181"/>
      <c r="Q113" s="181"/>
      <c r="R113" s="181"/>
      <c r="S113" s="181"/>
      <c r="T113" s="181"/>
      <c r="U113"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13" s="182">
        <f>ACOAETME2022[[#This Row],[TOTAL Non-Truncated Unadjusted Claims Expenses]]-ACOAETME2022[[#This Row],[Total Claims Excluded because of Truncation]]</f>
        <v>0</v>
      </c>
      <c r="W113"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13" s="182">
        <f>ACOAETME2022[[#This Row],[TOTAL Non-Truncated Unadjusted Claims Expenses]]+ACOAETME2022[[#This Row],[TOTAL Non-Claims Expenses]]</f>
        <v>0</v>
      </c>
      <c r="Y113" s="182">
        <f>ACOAETME2022[[#This Row],[TOTAL Truncated Unadjusted Claims Expenses (A19 - A17)]]+ACOAETME2022[[#This Row],[TOTAL Non-Claims Expenses]]</f>
        <v>0</v>
      </c>
      <c r="Z113" s="540" t="str">
        <f>IFERROR(ACOAETME2022[[#This Row],[TOTAL Non-Truncated Unadjusted Expenses 
(A19+A21)]]/ACOAETME2022[[#This Row],[Member Months]], "NA")</f>
        <v>NA</v>
      </c>
      <c r="AA113" s="232" t="str">
        <f>IFERROR(ACOAETME2022[[#This Row],[TOTAL Truncated Unadjusted Expenses (A20+A21)]]/ACOAETME2022[[#This Row],[Member Months]], "NA")</f>
        <v>NA</v>
      </c>
      <c r="AB113" s="504">
        <f>IFERROR(ACOAETME2022[[#This Row],[Total Claims Excluded because of Truncation]]/ACOAETME2022[[#This Row],[Count of Members with Claims Truncated]], 0)</f>
        <v>0</v>
      </c>
      <c r="AC113" s="508">
        <f>IFERROR(ACOAETME2022[[#This Row],[Total Claims Excluded because of Truncation]]/ACOAETME2022[[#This Row],[TOTAL Non-Truncated Unadjusted Claims Expenses]], 0)</f>
        <v>0</v>
      </c>
    </row>
    <row r="114" spans="1:29" x14ac:dyDescent="0.35">
      <c r="A114" s="8"/>
      <c r="B114" s="175"/>
      <c r="C114" s="179"/>
      <c r="D114" s="180"/>
      <c r="E114" s="181"/>
      <c r="F114" s="181"/>
      <c r="G114" s="181"/>
      <c r="H114" s="181"/>
      <c r="I114" s="181"/>
      <c r="J114" s="181"/>
      <c r="K114" s="181"/>
      <c r="L114" s="181"/>
      <c r="M114" s="181"/>
      <c r="N114" s="181"/>
      <c r="O114" s="181"/>
      <c r="P114" s="181"/>
      <c r="Q114" s="181"/>
      <c r="R114" s="181"/>
      <c r="S114" s="181"/>
      <c r="T114" s="181"/>
      <c r="U114"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14" s="182">
        <f>ACOAETME2022[[#This Row],[TOTAL Non-Truncated Unadjusted Claims Expenses]]-ACOAETME2022[[#This Row],[Total Claims Excluded because of Truncation]]</f>
        <v>0</v>
      </c>
      <c r="W114"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14" s="182">
        <f>ACOAETME2022[[#This Row],[TOTAL Non-Truncated Unadjusted Claims Expenses]]+ACOAETME2022[[#This Row],[TOTAL Non-Claims Expenses]]</f>
        <v>0</v>
      </c>
      <c r="Y114" s="182">
        <f>ACOAETME2022[[#This Row],[TOTAL Truncated Unadjusted Claims Expenses (A19 - A17)]]+ACOAETME2022[[#This Row],[TOTAL Non-Claims Expenses]]</f>
        <v>0</v>
      </c>
      <c r="Z114" s="540" t="str">
        <f>IFERROR(ACOAETME2022[[#This Row],[TOTAL Non-Truncated Unadjusted Expenses 
(A19+A21)]]/ACOAETME2022[[#This Row],[Member Months]], "NA")</f>
        <v>NA</v>
      </c>
      <c r="AA114" s="232" t="str">
        <f>IFERROR(ACOAETME2022[[#This Row],[TOTAL Truncated Unadjusted Expenses (A20+A21)]]/ACOAETME2022[[#This Row],[Member Months]], "NA")</f>
        <v>NA</v>
      </c>
      <c r="AB114" s="504">
        <f>IFERROR(ACOAETME2022[[#This Row],[Total Claims Excluded because of Truncation]]/ACOAETME2022[[#This Row],[Count of Members with Claims Truncated]], 0)</f>
        <v>0</v>
      </c>
      <c r="AC114" s="508">
        <f>IFERROR(ACOAETME2022[[#This Row],[Total Claims Excluded because of Truncation]]/ACOAETME2022[[#This Row],[TOTAL Non-Truncated Unadjusted Claims Expenses]], 0)</f>
        <v>0</v>
      </c>
    </row>
    <row r="115" spans="1:29" x14ac:dyDescent="0.35">
      <c r="A115" s="8"/>
      <c r="B115" s="175"/>
      <c r="C115" s="179"/>
      <c r="D115" s="180"/>
      <c r="E115" s="181"/>
      <c r="F115" s="181"/>
      <c r="G115" s="181"/>
      <c r="H115" s="181"/>
      <c r="I115" s="181"/>
      <c r="J115" s="181"/>
      <c r="K115" s="181"/>
      <c r="L115" s="181"/>
      <c r="M115" s="181"/>
      <c r="N115" s="181"/>
      <c r="O115" s="181"/>
      <c r="P115" s="181"/>
      <c r="Q115" s="181"/>
      <c r="R115" s="181"/>
      <c r="S115" s="181"/>
      <c r="T115" s="181"/>
      <c r="U115"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15" s="182">
        <f>ACOAETME2022[[#This Row],[TOTAL Non-Truncated Unadjusted Claims Expenses]]-ACOAETME2022[[#This Row],[Total Claims Excluded because of Truncation]]</f>
        <v>0</v>
      </c>
      <c r="W115"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15" s="182">
        <f>ACOAETME2022[[#This Row],[TOTAL Non-Truncated Unadjusted Claims Expenses]]+ACOAETME2022[[#This Row],[TOTAL Non-Claims Expenses]]</f>
        <v>0</v>
      </c>
      <c r="Y115" s="182">
        <f>ACOAETME2022[[#This Row],[TOTAL Truncated Unadjusted Claims Expenses (A19 - A17)]]+ACOAETME2022[[#This Row],[TOTAL Non-Claims Expenses]]</f>
        <v>0</v>
      </c>
      <c r="Z115" s="540" t="str">
        <f>IFERROR(ACOAETME2022[[#This Row],[TOTAL Non-Truncated Unadjusted Expenses 
(A19+A21)]]/ACOAETME2022[[#This Row],[Member Months]], "NA")</f>
        <v>NA</v>
      </c>
      <c r="AA115" s="232" t="str">
        <f>IFERROR(ACOAETME2022[[#This Row],[TOTAL Truncated Unadjusted Expenses (A20+A21)]]/ACOAETME2022[[#This Row],[Member Months]], "NA")</f>
        <v>NA</v>
      </c>
      <c r="AB115" s="504">
        <f>IFERROR(ACOAETME2022[[#This Row],[Total Claims Excluded because of Truncation]]/ACOAETME2022[[#This Row],[Count of Members with Claims Truncated]], 0)</f>
        <v>0</v>
      </c>
      <c r="AC115" s="508">
        <f>IFERROR(ACOAETME2022[[#This Row],[Total Claims Excluded because of Truncation]]/ACOAETME2022[[#This Row],[TOTAL Non-Truncated Unadjusted Claims Expenses]], 0)</f>
        <v>0</v>
      </c>
    </row>
    <row r="116" spans="1:29" x14ac:dyDescent="0.35">
      <c r="A116" s="8"/>
      <c r="B116" s="175"/>
      <c r="C116" s="179"/>
      <c r="D116" s="180"/>
      <c r="E116" s="181"/>
      <c r="F116" s="181"/>
      <c r="G116" s="181"/>
      <c r="H116" s="181"/>
      <c r="I116" s="181"/>
      <c r="J116" s="181"/>
      <c r="K116" s="181"/>
      <c r="L116" s="181"/>
      <c r="M116" s="181"/>
      <c r="N116" s="181"/>
      <c r="O116" s="181"/>
      <c r="P116" s="181"/>
      <c r="Q116" s="181"/>
      <c r="R116" s="181"/>
      <c r="S116" s="181"/>
      <c r="T116" s="181"/>
      <c r="U116"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16" s="182">
        <f>ACOAETME2022[[#This Row],[TOTAL Non-Truncated Unadjusted Claims Expenses]]-ACOAETME2022[[#This Row],[Total Claims Excluded because of Truncation]]</f>
        <v>0</v>
      </c>
      <c r="W116"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16" s="182">
        <f>ACOAETME2022[[#This Row],[TOTAL Non-Truncated Unadjusted Claims Expenses]]+ACOAETME2022[[#This Row],[TOTAL Non-Claims Expenses]]</f>
        <v>0</v>
      </c>
      <c r="Y116" s="182">
        <f>ACOAETME2022[[#This Row],[TOTAL Truncated Unadjusted Claims Expenses (A19 - A17)]]+ACOAETME2022[[#This Row],[TOTAL Non-Claims Expenses]]</f>
        <v>0</v>
      </c>
      <c r="Z116" s="540" t="str">
        <f>IFERROR(ACOAETME2022[[#This Row],[TOTAL Non-Truncated Unadjusted Expenses 
(A19+A21)]]/ACOAETME2022[[#This Row],[Member Months]], "NA")</f>
        <v>NA</v>
      </c>
      <c r="AA116" s="232" t="str">
        <f>IFERROR(ACOAETME2022[[#This Row],[TOTAL Truncated Unadjusted Expenses (A20+A21)]]/ACOAETME2022[[#This Row],[Member Months]], "NA")</f>
        <v>NA</v>
      </c>
      <c r="AB116" s="504">
        <f>IFERROR(ACOAETME2022[[#This Row],[Total Claims Excluded because of Truncation]]/ACOAETME2022[[#This Row],[Count of Members with Claims Truncated]], 0)</f>
        <v>0</v>
      </c>
      <c r="AC116" s="508">
        <f>IFERROR(ACOAETME2022[[#This Row],[Total Claims Excluded because of Truncation]]/ACOAETME2022[[#This Row],[TOTAL Non-Truncated Unadjusted Claims Expenses]], 0)</f>
        <v>0</v>
      </c>
    </row>
    <row r="117" spans="1:29" x14ac:dyDescent="0.35">
      <c r="A117" s="8"/>
      <c r="B117" s="175"/>
      <c r="C117" s="179"/>
      <c r="D117" s="180"/>
      <c r="E117" s="181"/>
      <c r="F117" s="181"/>
      <c r="G117" s="181"/>
      <c r="H117" s="181"/>
      <c r="I117" s="181"/>
      <c r="J117" s="181"/>
      <c r="K117" s="181"/>
      <c r="L117" s="181"/>
      <c r="M117" s="181"/>
      <c r="N117" s="181"/>
      <c r="O117" s="181"/>
      <c r="P117" s="181"/>
      <c r="Q117" s="181"/>
      <c r="R117" s="181"/>
      <c r="S117" s="181"/>
      <c r="T117" s="181"/>
      <c r="U117"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17" s="182">
        <f>ACOAETME2022[[#This Row],[TOTAL Non-Truncated Unadjusted Claims Expenses]]-ACOAETME2022[[#This Row],[Total Claims Excluded because of Truncation]]</f>
        <v>0</v>
      </c>
      <c r="W117"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17" s="182">
        <f>ACOAETME2022[[#This Row],[TOTAL Non-Truncated Unadjusted Claims Expenses]]+ACOAETME2022[[#This Row],[TOTAL Non-Claims Expenses]]</f>
        <v>0</v>
      </c>
      <c r="Y117" s="182">
        <f>ACOAETME2022[[#This Row],[TOTAL Truncated Unadjusted Claims Expenses (A19 - A17)]]+ACOAETME2022[[#This Row],[TOTAL Non-Claims Expenses]]</f>
        <v>0</v>
      </c>
      <c r="Z117" s="540" t="str">
        <f>IFERROR(ACOAETME2022[[#This Row],[TOTAL Non-Truncated Unadjusted Expenses 
(A19+A21)]]/ACOAETME2022[[#This Row],[Member Months]], "NA")</f>
        <v>NA</v>
      </c>
      <c r="AA117" s="232" t="str">
        <f>IFERROR(ACOAETME2022[[#This Row],[TOTAL Truncated Unadjusted Expenses (A20+A21)]]/ACOAETME2022[[#This Row],[Member Months]], "NA")</f>
        <v>NA</v>
      </c>
      <c r="AB117" s="504">
        <f>IFERROR(ACOAETME2022[[#This Row],[Total Claims Excluded because of Truncation]]/ACOAETME2022[[#This Row],[Count of Members with Claims Truncated]], 0)</f>
        <v>0</v>
      </c>
      <c r="AC117" s="508">
        <f>IFERROR(ACOAETME2022[[#This Row],[Total Claims Excluded because of Truncation]]/ACOAETME2022[[#This Row],[TOTAL Non-Truncated Unadjusted Claims Expenses]], 0)</f>
        <v>0</v>
      </c>
    </row>
    <row r="118" spans="1:29" x14ac:dyDescent="0.35">
      <c r="A118" s="8"/>
      <c r="B118" s="175"/>
      <c r="C118" s="179"/>
      <c r="D118" s="180"/>
      <c r="E118" s="181"/>
      <c r="F118" s="181"/>
      <c r="G118" s="181"/>
      <c r="H118" s="181"/>
      <c r="I118" s="181"/>
      <c r="J118" s="181"/>
      <c r="K118" s="181"/>
      <c r="L118" s="181"/>
      <c r="M118" s="181"/>
      <c r="N118" s="181"/>
      <c r="O118" s="181"/>
      <c r="P118" s="181"/>
      <c r="Q118" s="181"/>
      <c r="R118" s="181"/>
      <c r="S118" s="181"/>
      <c r="T118" s="181"/>
      <c r="U118"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18" s="182">
        <f>ACOAETME2022[[#This Row],[TOTAL Non-Truncated Unadjusted Claims Expenses]]-ACOAETME2022[[#This Row],[Total Claims Excluded because of Truncation]]</f>
        <v>0</v>
      </c>
      <c r="W118"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18" s="182">
        <f>ACOAETME2022[[#This Row],[TOTAL Non-Truncated Unadjusted Claims Expenses]]+ACOAETME2022[[#This Row],[TOTAL Non-Claims Expenses]]</f>
        <v>0</v>
      </c>
      <c r="Y118" s="182">
        <f>ACOAETME2022[[#This Row],[TOTAL Truncated Unadjusted Claims Expenses (A19 - A17)]]+ACOAETME2022[[#This Row],[TOTAL Non-Claims Expenses]]</f>
        <v>0</v>
      </c>
      <c r="Z118" s="540" t="str">
        <f>IFERROR(ACOAETME2022[[#This Row],[TOTAL Non-Truncated Unadjusted Expenses 
(A19+A21)]]/ACOAETME2022[[#This Row],[Member Months]], "NA")</f>
        <v>NA</v>
      </c>
      <c r="AA118" s="232" t="str">
        <f>IFERROR(ACOAETME2022[[#This Row],[TOTAL Truncated Unadjusted Expenses (A20+A21)]]/ACOAETME2022[[#This Row],[Member Months]], "NA")</f>
        <v>NA</v>
      </c>
      <c r="AB118" s="504">
        <f>IFERROR(ACOAETME2022[[#This Row],[Total Claims Excluded because of Truncation]]/ACOAETME2022[[#This Row],[Count of Members with Claims Truncated]], 0)</f>
        <v>0</v>
      </c>
      <c r="AC118" s="508">
        <f>IFERROR(ACOAETME2022[[#This Row],[Total Claims Excluded because of Truncation]]/ACOAETME2022[[#This Row],[TOTAL Non-Truncated Unadjusted Claims Expenses]], 0)</f>
        <v>0</v>
      </c>
    </row>
    <row r="119" spans="1:29" x14ac:dyDescent="0.35">
      <c r="A119" s="8"/>
      <c r="B119" s="175"/>
      <c r="C119" s="179"/>
      <c r="D119" s="180"/>
      <c r="E119" s="181"/>
      <c r="F119" s="181"/>
      <c r="G119" s="181"/>
      <c r="H119" s="181"/>
      <c r="I119" s="181"/>
      <c r="J119" s="181"/>
      <c r="K119" s="181"/>
      <c r="L119" s="181"/>
      <c r="M119" s="181"/>
      <c r="N119" s="181"/>
      <c r="O119" s="181"/>
      <c r="P119" s="181"/>
      <c r="Q119" s="181"/>
      <c r="R119" s="181"/>
      <c r="S119" s="181"/>
      <c r="T119" s="181"/>
      <c r="U119"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19" s="182">
        <f>ACOAETME2022[[#This Row],[TOTAL Non-Truncated Unadjusted Claims Expenses]]-ACOAETME2022[[#This Row],[Total Claims Excluded because of Truncation]]</f>
        <v>0</v>
      </c>
      <c r="W119"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19" s="182">
        <f>ACOAETME2022[[#This Row],[TOTAL Non-Truncated Unadjusted Claims Expenses]]+ACOAETME2022[[#This Row],[TOTAL Non-Claims Expenses]]</f>
        <v>0</v>
      </c>
      <c r="Y119" s="182">
        <f>ACOAETME2022[[#This Row],[TOTAL Truncated Unadjusted Claims Expenses (A19 - A17)]]+ACOAETME2022[[#This Row],[TOTAL Non-Claims Expenses]]</f>
        <v>0</v>
      </c>
      <c r="Z119" s="540" t="str">
        <f>IFERROR(ACOAETME2022[[#This Row],[TOTAL Non-Truncated Unadjusted Expenses 
(A19+A21)]]/ACOAETME2022[[#This Row],[Member Months]], "NA")</f>
        <v>NA</v>
      </c>
      <c r="AA119" s="232" t="str">
        <f>IFERROR(ACOAETME2022[[#This Row],[TOTAL Truncated Unadjusted Expenses (A20+A21)]]/ACOAETME2022[[#This Row],[Member Months]], "NA")</f>
        <v>NA</v>
      </c>
      <c r="AB119" s="504">
        <f>IFERROR(ACOAETME2022[[#This Row],[Total Claims Excluded because of Truncation]]/ACOAETME2022[[#This Row],[Count of Members with Claims Truncated]], 0)</f>
        <v>0</v>
      </c>
      <c r="AC119" s="508">
        <f>IFERROR(ACOAETME2022[[#This Row],[Total Claims Excluded because of Truncation]]/ACOAETME2022[[#This Row],[TOTAL Non-Truncated Unadjusted Claims Expenses]], 0)</f>
        <v>0</v>
      </c>
    </row>
    <row r="120" spans="1:29" x14ac:dyDescent="0.35">
      <c r="A120" s="8"/>
      <c r="B120" s="175"/>
      <c r="C120" s="179"/>
      <c r="D120" s="180"/>
      <c r="E120" s="181"/>
      <c r="F120" s="181"/>
      <c r="G120" s="181"/>
      <c r="H120" s="181"/>
      <c r="I120" s="181"/>
      <c r="J120" s="181"/>
      <c r="K120" s="181"/>
      <c r="L120" s="181"/>
      <c r="M120" s="181"/>
      <c r="N120" s="181"/>
      <c r="O120" s="181"/>
      <c r="P120" s="181"/>
      <c r="Q120" s="181"/>
      <c r="R120" s="181"/>
      <c r="S120" s="181"/>
      <c r="T120" s="181"/>
      <c r="U120"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20" s="182">
        <f>ACOAETME2022[[#This Row],[TOTAL Non-Truncated Unadjusted Claims Expenses]]-ACOAETME2022[[#This Row],[Total Claims Excluded because of Truncation]]</f>
        <v>0</v>
      </c>
      <c r="W120"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20" s="182">
        <f>ACOAETME2022[[#This Row],[TOTAL Non-Truncated Unadjusted Claims Expenses]]+ACOAETME2022[[#This Row],[TOTAL Non-Claims Expenses]]</f>
        <v>0</v>
      </c>
      <c r="Y120" s="182">
        <f>ACOAETME2022[[#This Row],[TOTAL Truncated Unadjusted Claims Expenses (A19 - A17)]]+ACOAETME2022[[#This Row],[TOTAL Non-Claims Expenses]]</f>
        <v>0</v>
      </c>
      <c r="Z120" s="540" t="str">
        <f>IFERROR(ACOAETME2022[[#This Row],[TOTAL Non-Truncated Unadjusted Expenses 
(A19+A21)]]/ACOAETME2022[[#This Row],[Member Months]], "NA")</f>
        <v>NA</v>
      </c>
      <c r="AA120" s="232" t="str">
        <f>IFERROR(ACOAETME2022[[#This Row],[TOTAL Truncated Unadjusted Expenses (A20+A21)]]/ACOAETME2022[[#This Row],[Member Months]], "NA")</f>
        <v>NA</v>
      </c>
      <c r="AB120" s="504">
        <f>IFERROR(ACOAETME2022[[#This Row],[Total Claims Excluded because of Truncation]]/ACOAETME2022[[#This Row],[Count of Members with Claims Truncated]], 0)</f>
        <v>0</v>
      </c>
      <c r="AC120" s="508">
        <f>IFERROR(ACOAETME2022[[#This Row],[Total Claims Excluded because of Truncation]]/ACOAETME2022[[#This Row],[TOTAL Non-Truncated Unadjusted Claims Expenses]], 0)</f>
        <v>0</v>
      </c>
    </row>
    <row r="121" spans="1:29" x14ac:dyDescent="0.35">
      <c r="A121" s="8"/>
      <c r="B121" s="175"/>
      <c r="C121" s="179"/>
      <c r="D121" s="180"/>
      <c r="E121" s="181"/>
      <c r="F121" s="181"/>
      <c r="G121" s="181"/>
      <c r="H121" s="181"/>
      <c r="I121" s="181"/>
      <c r="J121" s="181"/>
      <c r="K121" s="181"/>
      <c r="L121" s="181"/>
      <c r="M121" s="181"/>
      <c r="N121" s="181"/>
      <c r="O121" s="181"/>
      <c r="P121" s="181"/>
      <c r="Q121" s="181"/>
      <c r="R121" s="181"/>
      <c r="S121" s="181"/>
      <c r="T121" s="181"/>
      <c r="U121"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21" s="182">
        <f>ACOAETME2022[[#This Row],[TOTAL Non-Truncated Unadjusted Claims Expenses]]-ACOAETME2022[[#This Row],[Total Claims Excluded because of Truncation]]</f>
        <v>0</v>
      </c>
      <c r="W121"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21" s="182">
        <f>ACOAETME2022[[#This Row],[TOTAL Non-Truncated Unadjusted Claims Expenses]]+ACOAETME2022[[#This Row],[TOTAL Non-Claims Expenses]]</f>
        <v>0</v>
      </c>
      <c r="Y121" s="182">
        <f>ACOAETME2022[[#This Row],[TOTAL Truncated Unadjusted Claims Expenses (A19 - A17)]]+ACOAETME2022[[#This Row],[TOTAL Non-Claims Expenses]]</f>
        <v>0</v>
      </c>
      <c r="Z121" s="540" t="str">
        <f>IFERROR(ACOAETME2022[[#This Row],[TOTAL Non-Truncated Unadjusted Expenses 
(A19+A21)]]/ACOAETME2022[[#This Row],[Member Months]], "NA")</f>
        <v>NA</v>
      </c>
      <c r="AA121" s="232" t="str">
        <f>IFERROR(ACOAETME2022[[#This Row],[TOTAL Truncated Unadjusted Expenses (A20+A21)]]/ACOAETME2022[[#This Row],[Member Months]], "NA")</f>
        <v>NA</v>
      </c>
      <c r="AB121" s="504">
        <f>IFERROR(ACOAETME2022[[#This Row],[Total Claims Excluded because of Truncation]]/ACOAETME2022[[#This Row],[Count of Members with Claims Truncated]], 0)</f>
        <v>0</v>
      </c>
      <c r="AC121" s="508">
        <f>IFERROR(ACOAETME2022[[#This Row],[Total Claims Excluded because of Truncation]]/ACOAETME2022[[#This Row],[TOTAL Non-Truncated Unadjusted Claims Expenses]], 0)</f>
        <v>0</v>
      </c>
    </row>
    <row r="122" spans="1:29" x14ac:dyDescent="0.35">
      <c r="A122" s="8"/>
      <c r="B122" s="175"/>
      <c r="C122" s="179"/>
      <c r="D122" s="180"/>
      <c r="E122" s="181"/>
      <c r="F122" s="181"/>
      <c r="G122" s="181"/>
      <c r="H122" s="181"/>
      <c r="I122" s="181"/>
      <c r="J122" s="181"/>
      <c r="K122" s="181"/>
      <c r="L122" s="181"/>
      <c r="M122" s="181"/>
      <c r="N122" s="181"/>
      <c r="O122" s="181"/>
      <c r="P122" s="181"/>
      <c r="Q122" s="181"/>
      <c r="R122" s="181"/>
      <c r="S122" s="181"/>
      <c r="T122" s="181"/>
      <c r="U122"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22" s="182">
        <f>ACOAETME2022[[#This Row],[TOTAL Non-Truncated Unadjusted Claims Expenses]]-ACOAETME2022[[#This Row],[Total Claims Excluded because of Truncation]]</f>
        <v>0</v>
      </c>
      <c r="W122"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22" s="182">
        <f>ACOAETME2022[[#This Row],[TOTAL Non-Truncated Unadjusted Claims Expenses]]+ACOAETME2022[[#This Row],[TOTAL Non-Claims Expenses]]</f>
        <v>0</v>
      </c>
      <c r="Y122" s="182">
        <f>ACOAETME2022[[#This Row],[TOTAL Truncated Unadjusted Claims Expenses (A19 - A17)]]+ACOAETME2022[[#This Row],[TOTAL Non-Claims Expenses]]</f>
        <v>0</v>
      </c>
      <c r="Z122" s="540" t="str">
        <f>IFERROR(ACOAETME2022[[#This Row],[TOTAL Non-Truncated Unadjusted Expenses 
(A19+A21)]]/ACOAETME2022[[#This Row],[Member Months]], "NA")</f>
        <v>NA</v>
      </c>
      <c r="AA122" s="232" t="str">
        <f>IFERROR(ACOAETME2022[[#This Row],[TOTAL Truncated Unadjusted Expenses (A20+A21)]]/ACOAETME2022[[#This Row],[Member Months]], "NA")</f>
        <v>NA</v>
      </c>
      <c r="AB122" s="504">
        <f>IFERROR(ACOAETME2022[[#This Row],[Total Claims Excluded because of Truncation]]/ACOAETME2022[[#This Row],[Count of Members with Claims Truncated]], 0)</f>
        <v>0</v>
      </c>
      <c r="AC122" s="508">
        <f>IFERROR(ACOAETME2022[[#This Row],[Total Claims Excluded because of Truncation]]/ACOAETME2022[[#This Row],[TOTAL Non-Truncated Unadjusted Claims Expenses]], 0)</f>
        <v>0</v>
      </c>
    </row>
    <row r="123" spans="1:29" x14ac:dyDescent="0.35">
      <c r="A123" s="8"/>
      <c r="B123" s="175"/>
      <c r="C123" s="179"/>
      <c r="D123" s="180"/>
      <c r="E123" s="181"/>
      <c r="F123" s="181"/>
      <c r="G123" s="181"/>
      <c r="H123" s="181"/>
      <c r="I123" s="181"/>
      <c r="J123" s="181"/>
      <c r="K123" s="181"/>
      <c r="L123" s="181"/>
      <c r="M123" s="181"/>
      <c r="N123" s="181"/>
      <c r="O123" s="181"/>
      <c r="P123" s="181"/>
      <c r="Q123" s="181"/>
      <c r="R123" s="181"/>
      <c r="S123" s="181"/>
      <c r="T123" s="181"/>
      <c r="U123"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23" s="182">
        <f>ACOAETME2022[[#This Row],[TOTAL Non-Truncated Unadjusted Claims Expenses]]-ACOAETME2022[[#This Row],[Total Claims Excluded because of Truncation]]</f>
        <v>0</v>
      </c>
      <c r="W123"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23" s="182">
        <f>ACOAETME2022[[#This Row],[TOTAL Non-Truncated Unadjusted Claims Expenses]]+ACOAETME2022[[#This Row],[TOTAL Non-Claims Expenses]]</f>
        <v>0</v>
      </c>
      <c r="Y123" s="182">
        <f>ACOAETME2022[[#This Row],[TOTAL Truncated Unadjusted Claims Expenses (A19 - A17)]]+ACOAETME2022[[#This Row],[TOTAL Non-Claims Expenses]]</f>
        <v>0</v>
      </c>
      <c r="Z123" s="540" t="str">
        <f>IFERROR(ACOAETME2022[[#This Row],[TOTAL Non-Truncated Unadjusted Expenses 
(A19+A21)]]/ACOAETME2022[[#This Row],[Member Months]], "NA")</f>
        <v>NA</v>
      </c>
      <c r="AA123" s="232" t="str">
        <f>IFERROR(ACOAETME2022[[#This Row],[TOTAL Truncated Unadjusted Expenses (A20+A21)]]/ACOAETME2022[[#This Row],[Member Months]], "NA")</f>
        <v>NA</v>
      </c>
      <c r="AB123" s="504">
        <f>IFERROR(ACOAETME2022[[#This Row],[Total Claims Excluded because of Truncation]]/ACOAETME2022[[#This Row],[Count of Members with Claims Truncated]], 0)</f>
        <v>0</v>
      </c>
      <c r="AC123" s="508">
        <f>IFERROR(ACOAETME2022[[#This Row],[Total Claims Excluded because of Truncation]]/ACOAETME2022[[#This Row],[TOTAL Non-Truncated Unadjusted Claims Expenses]], 0)</f>
        <v>0</v>
      </c>
    </row>
    <row r="124" spans="1:29" x14ac:dyDescent="0.35">
      <c r="A124" s="8"/>
      <c r="B124" s="175"/>
      <c r="C124" s="179"/>
      <c r="D124" s="180"/>
      <c r="E124" s="181"/>
      <c r="F124" s="181"/>
      <c r="G124" s="181"/>
      <c r="H124" s="181"/>
      <c r="I124" s="181"/>
      <c r="J124" s="181"/>
      <c r="K124" s="181"/>
      <c r="L124" s="181"/>
      <c r="M124" s="181"/>
      <c r="N124" s="181"/>
      <c r="O124" s="181"/>
      <c r="P124" s="181"/>
      <c r="Q124" s="181"/>
      <c r="R124" s="181"/>
      <c r="S124" s="181"/>
      <c r="T124" s="181"/>
      <c r="U124"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24" s="182">
        <f>ACOAETME2022[[#This Row],[TOTAL Non-Truncated Unadjusted Claims Expenses]]-ACOAETME2022[[#This Row],[Total Claims Excluded because of Truncation]]</f>
        <v>0</v>
      </c>
      <c r="W124"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24" s="182">
        <f>ACOAETME2022[[#This Row],[TOTAL Non-Truncated Unadjusted Claims Expenses]]+ACOAETME2022[[#This Row],[TOTAL Non-Claims Expenses]]</f>
        <v>0</v>
      </c>
      <c r="Y124" s="182">
        <f>ACOAETME2022[[#This Row],[TOTAL Truncated Unadjusted Claims Expenses (A19 - A17)]]+ACOAETME2022[[#This Row],[TOTAL Non-Claims Expenses]]</f>
        <v>0</v>
      </c>
      <c r="Z124" s="540" t="str">
        <f>IFERROR(ACOAETME2022[[#This Row],[TOTAL Non-Truncated Unadjusted Expenses 
(A19+A21)]]/ACOAETME2022[[#This Row],[Member Months]], "NA")</f>
        <v>NA</v>
      </c>
      <c r="AA124" s="232" t="str">
        <f>IFERROR(ACOAETME2022[[#This Row],[TOTAL Truncated Unadjusted Expenses (A20+A21)]]/ACOAETME2022[[#This Row],[Member Months]], "NA")</f>
        <v>NA</v>
      </c>
      <c r="AB124" s="504">
        <f>IFERROR(ACOAETME2022[[#This Row],[Total Claims Excluded because of Truncation]]/ACOAETME2022[[#This Row],[Count of Members with Claims Truncated]], 0)</f>
        <v>0</v>
      </c>
      <c r="AC124" s="508">
        <f>IFERROR(ACOAETME2022[[#This Row],[Total Claims Excluded because of Truncation]]/ACOAETME2022[[#This Row],[TOTAL Non-Truncated Unadjusted Claims Expenses]], 0)</f>
        <v>0</v>
      </c>
    </row>
    <row r="125" spans="1:29" x14ac:dyDescent="0.35">
      <c r="A125" s="8"/>
      <c r="B125" s="175"/>
      <c r="C125" s="179"/>
      <c r="D125" s="180"/>
      <c r="E125" s="181"/>
      <c r="F125" s="181"/>
      <c r="G125" s="181"/>
      <c r="H125" s="181"/>
      <c r="I125" s="181"/>
      <c r="J125" s="181"/>
      <c r="K125" s="181"/>
      <c r="L125" s="181"/>
      <c r="M125" s="181"/>
      <c r="N125" s="181"/>
      <c r="O125" s="181"/>
      <c r="P125" s="181"/>
      <c r="Q125" s="181"/>
      <c r="R125" s="181"/>
      <c r="S125" s="181"/>
      <c r="T125" s="181"/>
      <c r="U125"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25" s="182">
        <f>ACOAETME2022[[#This Row],[TOTAL Non-Truncated Unadjusted Claims Expenses]]-ACOAETME2022[[#This Row],[Total Claims Excluded because of Truncation]]</f>
        <v>0</v>
      </c>
      <c r="W125"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25" s="182">
        <f>ACOAETME2022[[#This Row],[TOTAL Non-Truncated Unadjusted Claims Expenses]]+ACOAETME2022[[#This Row],[TOTAL Non-Claims Expenses]]</f>
        <v>0</v>
      </c>
      <c r="Y125" s="182">
        <f>ACOAETME2022[[#This Row],[TOTAL Truncated Unadjusted Claims Expenses (A19 - A17)]]+ACOAETME2022[[#This Row],[TOTAL Non-Claims Expenses]]</f>
        <v>0</v>
      </c>
      <c r="Z125" s="540" t="str">
        <f>IFERROR(ACOAETME2022[[#This Row],[TOTAL Non-Truncated Unadjusted Expenses 
(A19+A21)]]/ACOAETME2022[[#This Row],[Member Months]], "NA")</f>
        <v>NA</v>
      </c>
      <c r="AA125" s="232" t="str">
        <f>IFERROR(ACOAETME2022[[#This Row],[TOTAL Truncated Unadjusted Expenses (A20+A21)]]/ACOAETME2022[[#This Row],[Member Months]], "NA")</f>
        <v>NA</v>
      </c>
      <c r="AB125" s="504">
        <f>IFERROR(ACOAETME2022[[#This Row],[Total Claims Excluded because of Truncation]]/ACOAETME2022[[#This Row],[Count of Members with Claims Truncated]], 0)</f>
        <v>0</v>
      </c>
      <c r="AC125" s="508">
        <f>IFERROR(ACOAETME2022[[#This Row],[Total Claims Excluded because of Truncation]]/ACOAETME2022[[#This Row],[TOTAL Non-Truncated Unadjusted Claims Expenses]], 0)</f>
        <v>0</v>
      </c>
    </row>
    <row r="126" spans="1:29" x14ac:dyDescent="0.35">
      <c r="A126" s="8"/>
      <c r="B126" s="175"/>
      <c r="C126" s="179"/>
      <c r="D126" s="180"/>
      <c r="E126" s="181"/>
      <c r="F126" s="181"/>
      <c r="G126" s="181"/>
      <c r="H126" s="181"/>
      <c r="I126" s="181"/>
      <c r="J126" s="181"/>
      <c r="K126" s="181"/>
      <c r="L126" s="181"/>
      <c r="M126" s="181"/>
      <c r="N126" s="181"/>
      <c r="O126" s="181"/>
      <c r="P126" s="181"/>
      <c r="Q126" s="181"/>
      <c r="R126" s="181"/>
      <c r="S126" s="181"/>
      <c r="T126" s="181"/>
      <c r="U126"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26" s="182">
        <f>ACOAETME2022[[#This Row],[TOTAL Non-Truncated Unadjusted Claims Expenses]]-ACOAETME2022[[#This Row],[Total Claims Excluded because of Truncation]]</f>
        <v>0</v>
      </c>
      <c r="W126"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26" s="182">
        <f>ACOAETME2022[[#This Row],[TOTAL Non-Truncated Unadjusted Claims Expenses]]+ACOAETME2022[[#This Row],[TOTAL Non-Claims Expenses]]</f>
        <v>0</v>
      </c>
      <c r="Y126" s="182">
        <f>ACOAETME2022[[#This Row],[TOTAL Truncated Unadjusted Claims Expenses (A19 - A17)]]+ACOAETME2022[[#This Row],[TOTAL Non-Claims Expenses]]</f>
        <v>0</v>
      </c>
      <c r="Z126" s="540" t="str">
        <f>IFERROR(ACOAETME2022[[#This Row],[TOTAL Non-Truncated Unadjusted Expenses 
(A19+A21)]]/ACOAETME2022[[#This Row],[Member Months]], "NA")</f>
        <v>NA</v>
      </c>
      <c r="AA126" s="232" t="str">
        <f>IFERROR(ACOAETME2022[[#This Row],[TOTAL Truncated Unadjusted Expenses (A20+A21)]]/ACOAETME2022[[#This Row],[Member Months]], "NA")</f>
        <v>NA</v>
      </c>
      <c r="AB126" s="504">
        <f>IFERROR(ACOAETME2022[[#This Row],[Total Claims Excluded because of Truncation]]/ACOAETME2022[[#This Row],[Count of Members with Claims Truncated]], 0)</f>
        <v>0</v>
      </c>
      <c r="AC126" s="508">
        <f>IFERROR(ACOAETME2022[[#This Row],[Total Claims Excluded because of Truncation]]/ACOAETME2022[[#This Row],[TOTAL Non-Truncated Unadjusted Claims Expenses]], 0)</f>
        <v>0</v>
      </c>
    </row>
    <row r="127" spans="1:29" x14ac:dyDescent="0.35">
      <c r="A127" s="8"/>
      <c r="B127" s="175"/>
      <c r="C127" s="179"/>
      <c r="D127" s="180"/>
      <c r="E127" s="181"/>
      <c r="F127" s="181"/>
      <c r="G127" s="181"/>
      <c r="H127" s="181"/>
      <c r="I127" s="181"/>
      <c r="J127" s="181"/>
      <c r="K127" s="181"/>
      <c r="L127" s="181"/>
      <c r="M127" s="181"/>
      <c r="N127" s="181"/>
      <c r="O127" s="181"/>
      <c r="P127" s="181"/>
      <c r="Q127" s="181"/>
      <c r="R127" s="181"/>
      <c r="S127" s="181"/>
      <c r="T127" s="181"/>
      <c r="U127"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27" s="182">
        <f>ACOAETME2022[[#This Row],[TOTAL Non-Truncated Unadjusted Claims Expenses]]-ACOAETME2022[[#This Row],[Total Claims Excluded because of Truncation]]</f>
        <v>0</v>
      </c>
      <c r="W127"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27" s="182">
        <f>ACOAETME2022[[#This Row],[TOTAL Non-Truncated Unadjusted Claims Expenses]]+ACOAETME2022[[#This Row],[TOTAL Non-Claims Expenses]]</f>
        <v>0</v>
      </c>
      <c r="Y127" s="182">
        <f>ACOAETME2022[[#This Row],[TOTAL Truncated Unadjusted Claims Expenses (A19 - A17)]]+ACOAETME2022[[#This Row],[TOTAL Non-Claims Expenses]]</f>
        <v>0</v>
      </c>
      <c r="Z127" s="540" t="str">
        <f>IFERROR(ACOAETME2022[[#This Row],[TOTAL Non-Truncated Unadjusted Expenses 
(A19+A21)]]/ACOAETME2022[[#This Row],[Member Months]], "NA")</f>
        <v>NA</v>
      </c>
      <c r="AA127" s="232" t="str">
        <f>IFERROR(ACOAETME2022[[#This Row],[TOTAL Truncated Unadjusted Expenses (A20+A21)]]/ACOAETME2022[[#This Row],[Member Months]], "NA")</f>
        <v>NA</v>
      </c>
      <c r="AB127" s="504">
        <f>IFERROR(ACOAETME2022[[#This Row],[Total Claims Excluded because of Truncation]]/ACOAETME2022[[#This Row],[Count of Members with Claims Truncated]], 0)</f>
        <v>0</v>
      </c>
      <c r="AC127" s="508">
        <f>IFERROR(ACOAETME2022[[#This Row],[Total Claims Excluded because of Truncation]]/ACOAETME2022[[#This Row],[TOTAL Non-Truncated Unadjusted Claims Expenses]], 0)</f>
        <v>0</v>
      </c>
    </row>
    <row r="128" spans="1:29" x14ac:dyDescent="0.35">
      <c r="A128" s="8"/>
      <c r="B128" s="175"/>
      <c r="C128" s="179"/>
      <c r="D128" s="180"/>
      <c r="E128" s="181"/>
      <c r="F128" s="181"/>
      <c r="G128" s="181"/>
      <c r="H128" s="181"/>
      <c r="I128" s="181"/>
      <c r="J128" s="181"/>
      <c r="K128" s="181"/>
      <c r="L128" s="181"/>
      <c r="M128" s="181"/>
      <c r="N128" s="181"/>
      <c r="O128" s="181"/>
      <c r="P128" s="181"/>
      <c r="Q128" s="181"/>
      <c r="R128" s="181"/>
      <c r="S128" s="181"/>
      <c r="T128" s="181"/>
      <c r="U128"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28" s="182">
        <f>ACOAETME2022[[#This Row],[TOTAL Non-Truncated Unadjusted Claims Expenses]]-ACOAETME2022[[#This Row],[Total Claims Excluded because of Truncation]]</f>
        <v>0</v>
      </c>
      <c r="W128"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28" s="182">
        <f>ACOAETME2022[[#This Row],[TOTAL Non-Truncated Unadjusted Claims Expenses]]+ACOAETME2022[[#This Row],[TOTAL Non-Claims Expenses]]</f>
        <v>0</v>
      </c>
      <c r="Y128" s="182">
        <f>ACOAETME2022[[#This Row],[TOTAL Truncated Unadjusted Claims Expenses (A19 - A17)]]+ACOAETME2022[[#This Row],[TOTAL Non-Claims Expenses]]</f>
        <v>0</v>
      </c>
      <c r="Z128" s="540" t="str">
        <f>IFERROR(ACOAETME2022[[#This Row],[TOTAL Non-Truncated Unadjusted Expenses 
(A19+A21)]]/ACOAETME2022[[#This Row],[Member Months]], "NA")</f>
        <v>NA</v>
      </c>
      <c r="AA128" s="232" t="str">
        <f>IFERROR(ACOAETME2022[[#This Row],[TOTAL Truncated Unadjusted Expenses (A20+A21)]]/ACOAETME2022[[#This Row],[Member Months]], "NA")</f>
        <v>NA</v>
      </c>
      <c r="AB128" s="504">
        <f>IFERROR(ACOAETME2022[[#This Row],[Total Claims Excluded because of Truncation]]/ACOAETME2022[[#This Row],[Count of Members with Claims Truncated]], 0)</f>
        <v>0</v>
      </c>
      <c r="AC128" s="508">
        <f>IFERROR(ACOAETME2022[[#This Row],[Total Claims Excluded because of Truncation]]/ACOAETME2022[[#This Row],[TOTAL Non-Truncated Unadjusted Claims Expenses]], 0)</f>
        <v>0</v>
      </c>
    </row>
    <row r="129" spans="1:29" x14ac:dyDescent="0.35">
      <c r="A129" s="8"/>
      <c r="B129" s="175"/>
      <c r="C129" s="179"/>
      <c r="D129" s="180"/>
      <c r="E129" s="181"/>
      <c r="F129" s="181"/>
      <c r="G129" s="181"/>
      <c r="H129" s="181"/>
      <c r="I129" s="181"/>
      <c r="J129" s="181"/>
      <c r="K129" s="181"/>
      <c r="L129" s="181"/>
      <c r="M129" s="181"/>
      <c r="N129" s="181"/>
      <c r="O129" s="181"/>
      <c r="P129" s="181"/>
      <c r="Q129" s="181"/>
      <c r="R129" s="181"/>
      <c r="S129" s="181"/>
      <c r="T129" s="181"/>
      <c r="U129"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29" s="182">
        <f>ACOAETME2022[[#This Row],[TOTAL Non-Truncated Unadjusted Claims Expenses]]-ACOAETME2022[[#This Row],[Total Claims Excluded because of Truncation]]</f>
        <v>0</v>
      </c>
      <c r="W129"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29" s="182">
        <f>ACOAETME2022[[#This Row],[TOTAL Non-Truncated Unadjusted Claims Expenses]]+ACOAETME2022[[#This Row],[TOTAL Non-Claims Expenses]]</f>
        <v>0</v>
      </c>
      <c r="Y129" s="182">
        <f>ACOAETME2022[[#This Row],[TOTAL Truncated Unadjusted Claims Expenses (A19 - A17)]]+ACOAETME2022[[#This Row],[TOTAL Non-Claims Expenses]]</f>
        <v>0</v>
      </c>
      <c r="Z129" s="540" t="str">
        <f>IFERROR(ACOAETME2022[[#This Row],[TOTAL Non-Truncated Unadjusted Expenses 
(A19+A21)]]/ACOAETME2022[[#This Row],[Member Months]], "NA")</f>
        <v>NA</v>
      </c>
      <c r="AA129" s="232" t="str">
        <f>IFERROR(ACOAETME2022[[#This Row],[TOTAL Truncated Unadjusted Expenses (A20+A21)]]/ACOAETME2022[[#This Row],[Member Months]], "NA")</f>
        <v>NA</v>
      </c>
      <c r="AB129" s="504">
        <f>IFERROR(ACOAETME2022[[#This Row],[Total Claims Excluded because of Truncation]]/ACOAETME2022[[#This Row],[Count of Members with Claims Truncated]], 0)</f>
        <v>0</v>
      </c>
      <c r="AC129" s="508">
        <f>IFERROR(ACOAETME2022[[#This Row],[Total Claims Excluded because of Truncation]]/ACOAETME2022[[#This Row],[TOTAL Non-Truncated Unadjusted Claims Expenses]], 0)</f>
        <v>0</v>
      </c>
    </row>
    <row r="130" spans="1:29" x14ac:dyDescent="0.35">
      <c r="A130" s="8"/>
      <c r="B130" s="175"/>
      <c r="C130" s="179"/>
      <c r="D130" s="180"/>
      <c r="E130" s="181"/>
      <c r="F130" s="181"/>
      <c r="G130" s="181"/>
      <c r="H130" s="181"/>
      <c r="I130" s="181"/>
      <c r="J130" s="181"/>
      <c r="K130" s="181"/>
      <c r="L130" s="181"/>
      <c r="M130" s="181"/>
      <c r="N130" s="181"/>
      <c r="O130" s="181"/>
      <c r="P130" s="181"/>
      <c r="Q130" s="181"/>
      <c r="R130" s="181"/>
      <c r="S130" s="181"/>
      <c r="T130" s="181"/>
      <c r="U130"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30" s="182">
        <f>ACOAETME2022[[#This Row],[TOTAL Non-Truncated Unadjusted Claims Expenses]]-ACOAETME2022[[#This Row],[Total Claims Excluded because of Truncation]]</f>
        <v>0</v>
      </c>
      <c r="W130"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30" s="182">
        <f>ACOAETME2022[[#This Row],[TOTAL Non-Truncated Unadjusted Claims Expenses]]+ACOAETME2022[[#This Row],[TOTAL Non-Claims Expenses]]</f>
        <v>0</v>
      </c>
      <c r="Y130" s="182">
        <f>ACOAETME2022[[#This Row],[TOTAL Truncated Unadjusted Claims Expenses (A19 - A17)]]+ACOAETME2022[[#This Row],[TOTAL Non-Claims Expenses]]</f>
        <v>0</v>
      </c>
      <c r="Z130" s="540" t="str">
        <f>IFERROR(ACOAETME2022[[#This Row],[TOTAL Non-Truncated Unadjusted Expenses 
(A19+A21)]]/ACOAETME2022[[#This Row],[Member Months]], "NA")</f>
        <v>NA</v>
      </c>
      <c r="AA130" s="232" t="str">
        <f>IFERROR(ACOAETME2022[[#This Row],[TOTAL Truncated Unadjusted Expenses (A20+A21)]]/ACOAETME2022[[#This Row],[Member Months]], "NA")</f>
        <v>NA</v>
      </c>
      <c r="AB130" s="504">
        <f>IFERROR(ACOAETME2022[[#This Row],[Total Claims Excluded because of Truncation]]/ACOAETME2022[[#This Row],[Count of Members with Claims Truncated]], 0)</f>
        <v>0</v>
      </c>
      <c r="AC130" s="508">
        <f>IFERROR(ACOAETME2022[[#This Row],[Total Claims Excluded because of Truncation]]/ACOAETME2022[[#This Row],[TOTAL Non-Truncated Unadjusted Claims Expenses]], 0)</f>
        <v>0</v>
      </c>
    </row>
    <row r="131" spans="1:29" x14ac:dyDescent="0.35">
      <c r="A131" s="8"/>
      <c r="B131" s="175"/>
      <c r="C131" s="179"/>
      <c r="D131" s="180"/>
      <c r="E131" s="181"/>
      <c r="F131" s="181"/>
      <c r="G131" s="181"/>
      <c r="H131" s="181"/>
      <c r="I131" s="181"/>
      <c r="J131" s="181"/>
      <c r="K131" s="181"/>
      <c r="L131" s="181"/>
      <c r="M131" s="181"/>
      <c r="N131" s="181"/>
      <c r="O131" s="181"/>
      <c r="P131" s="181"/>
      <c r="Q131" s="181"/>
      <c r="R131" s="181"/>
      <c r="S131" s="181"/>
      <c r="T131" s="181"/>
      <c r="U131"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31" s="182">
        <f>ACOAETME2022[[#This Row],[TOTAL Non-Truncated Unadjusted Claims Expenses]]-ACOAETME2022[[#This Row],[Total Claims Excluded because of Truncation]]</f>
        <v>0</v>
      </c>
      <c r="W131"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31" s="182">
        <f>ACOAETME2022[[#This Row],[TOTAL Non-Truncated Unadjusted Claims Expenses]]+ACOAETME2022[[#This Row],[TOTAL Non-Claims Expenses]]</f>
        <v>0</v>
      </c>
      <c r="Y131" s="182">
        <f>ACOAETME2022[[#This Row],[TOTAL Truncated Unadjusted Claims Expenses (A19 - A17)]]+ACOAETME2022[[#This Row],[TOTAL Non-Claims Expenses]]</f>
        <v>0</v>
      </c>
      <c r="Z131" s="540" t="str">
        <f>IFERROR(ACOAETME2022[[#This Row],[TOTAL Non-Truncated Unadjusted Expenses 
(A19+A21)]]/ACOAETME2022[[#This Row],[Member Months]], "NA")</f>
        <v>NA</v>
      </c>
      <c r="AA131" s="232" t="str">
        <f>IFERROR(ACOAETME2022[[#This Row],[TOTAL Truncated Unadjusted Expenses (A20+A21)]]/ACOAETME2022[[#This Row],[Member Months]], "NA")</f>
        <v>NA</v>
      </c>
      <c r="AB131" s="504">
        <f>IFERROR(ACOAETME2022[[#This Row],[Total Claims Excluded because of Truncation]]/ACOAETME2022[[#This Row],[Count of Members with Claims Truncated]], 0)</f>
        <v>0</v>
      </c>
      <c r="AC131" s="508">
        <f>IFERROR(ACOAETME2022[[#This Row],[Total Claims Excluded because of Truncation]]/ACOAETME2022[[#This Row],[TOTAL Non-Truncated Unadjusted Claims Expenses]], 0)</f>
        <v>0</v>
      </c>
    </row>
    <row r="132" spans="1:29" x14ac:dyDescent="0.35">
      <c r="A132" s="8"/>
      <c r="B132" s="175"/>
      <c r="C132" s="179"/>
      <c r="D132" s="180"/>
      <c r="E132" s="181"/>
      <c r="F132" s="181"/>
      <c r="G132" s="181"/>
      <c r="H132" s="181"/>
      <c r="I132" s="181"/>
      <c r="J132" s="181"/>
      <c r="K132" s="181"/>
      <c r="L132" s="181"/>
      <c r="M132" s="181"/>
      <c r="N132" s="181"/>
      <c r="O132" s="181"/>
      <c r="P132" s="181"/>
      <c r="Q132" s="181"/>
      <c r="R132" s="181"/>
      <c r="S132" s="181"/>
      <c r="T132" s="181"/>
      <c r="U132"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32" s="182">
        <f>ACOAETME2022[[#This Row],[TOTAL Non-Truncated Unadjusted Claims Expenses]]-ACOAETME2022[[#This Row],[Total Claims Excluded because of Truncation]]</f>
        <v>0</v>
      </c>
      <c r="W132"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32" s="182">
        <f>ACOAETME2022[[#This Row],[TOTAL Non-Truncated Unadjusted Claims Expenses]]+ACOAETME2022[[#This Row],[TOTAL Non-Claims Expenses]]</f>
        <v>0</v>
      </c>
      <c r="Y132" s="182">
        <f>ACOAETME2022[[#This Row],[TOTAL Truncated Unadjusted Claims Expenses (A19 - A17)]]+ACOAETME2022[[#This Row],[TOTAL Non-Claims Expenses]]</f>
        <v>0</v>
      </c>
      <c r="Z132" s="540" t="str">
        <f>IFERROR(ACOAETME2022[[#This Row],[TOTAL Non-Truncated Unadjusted Expenses 
(A19+A21)]]/ACOAETME2022[[#This Row],[Member Months]], "NA")</f>
        <v>NA</v>
      </c>
      <c r="AA132" s="232" t="str">
        <f>IFERROR(ACOAETME2022[[#This Row],[TOTAL Truncated Unadjusted Expenses (A20+A21)]]/ACOAETME2022[[#This Row],[Member Months]], "NA")</f>
        <v>NA</v>
      </c>
      <c r="AB132" s="504">
        <f>IFERROR(ACOAETME2022[[#This Row],[Total Claims Excluded because of Truncation]]/ACOAETME2022[[#This Row],[Count of Members with Claims Truncated]], 0)</f>
        <v>0</v>
      </c>
      <c r="AC132" s="508">
        <f>IFERROR(ACOAETME2022[[#This Row],[Total Claims Excluded because of Truncation]]/ACOAETME2022[[#This Row],[TOTAL Non-Truncated Unadjusted Claims Expenses]], 0)</f>
        <v>0</v>
      </c>
    </row>
    <row r="133" spans="1:29" x14ac:dyDescent="0.35">
      <c r="A133" s="8"/>
      <c r="B133" s="175"/>
      <c r="C133" s="179"/>
      <c r="D133" s="180"/>
      <c r="E133" s="181"/>
      <c r="F133" s="181"/>
      <c r="G133" s="181"/>
      <c r="H133" s="181"/>
      <c r="I133" s="181"/>
      <c r="J133" s="181"/>
      <c r="K133" s="181"/>
      <c r="L133" s="181"/>
      <c r="M133" s="181"/>
      <c r="N133" s="181"/>
      <c r="O133" s="181"/>
      <c r="P133" s="181"/>
      <c r="Q133" s="181"/>
      <c r="R133" s="181"/>
      <c r="S133" s="181"/>
      <c r="T133" s="181"/>
      <c r="U133"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33" s="182">
        <f>ACOAETME2022[[#This Row],[TOTAL Non-Truncated Unadjusted Claims Expenses]]-ACOAETME2022[[#This Row],[Total Claims Excluded because of Truncation]]</f>
        <v>0</v>
      </c>
      <c r="W133"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33" s="182">
        <f>ACOAETME2022[[#This Row],[TOTAL Non-Truncated Unadjusted Claims Expenses]]+ACOAETME2022[[#This Row],[TOTAL Non-Claims Expenses]]</f>
        <v>0</v>
      </c>
      <c r="Y133" s="182">
        <f>ACOAETME2022[[#This Row],[TOTAL Truncated Unadjusted Claims Expenses (A19 - A17)]]+ACOAETME2022[[#This Row],[TOTAL Non-Claims Expenses]]</f>
        <v>0</v>
      </c>
      <c r="Z133" s="540" t="str">
        <f>IFERROR(ACOAETME2022[[#This Row],[TOTAL Non-Truncated Unadjusted Expenses 
(A19+A21)]]/ACOAETME2022[[#This Row],[Member Months]], "NA")</f>
        <v>NA</v>
      </c>
      <c r="AA133" s="232" t="str">
        <f>IFERROR(ACOAETME2022[[#This Row],[TOTAL Truncated Unadjusted Expenses (A20+A21)]]/ACOAETME2022[[#This Row],[Member Months]], "NA")</f>
        <v>NA</v>
      </c>
      <c r="AB133" s="504">
        <f>IFERROR(ACOAETME2022[[#This Row],[Total Claims Excluded because of Truncation]]/ACOAETME2022[[#This Row],[Count of Members with Claims Truncated]], 0)</f>
        <v>0</v>
      </c>
      <c r="AC133" s="508">
        <f>IFERROR(ACOAETME2022[[#This Row],[Total Claims Excluded because of Truncation]]/ACOAETME2022[[#This Row],[TOTAL Non-Truncated Unadjusted Claims Expenses]], 0)</f>
        <v>0</v>
      </c>
    </row>
    <row r="134" spans="1:29" x14ac:dyDescent="0.35">
      <c r="A134" s="8"/>
      <c r="B134" s="175"/>
      <c r="C134" s="179"/>
      <c r="D134" s="180"/>
      <c r="E134" s="181"/>
      <c r="F134" s="181"/>
      <c r="G134" s="181"/>
      <c r="H134" s="181"/>
      <c r="I134" s="181"/>
      <c r="J134" s="181"/>
      <c r="K134" s="181"/>
      <c r="L134" s="181"/>
      <c r="M134" s="181"/>
      <c r="N134" s="181"/>
      <c r="O134" s="181"/>
      <c r="P134" s="181"/>
      <c r="Q134" s="181"/>
      <c r="R134" s="181"/>
      <c r="S134" s="181"/>
      <c r="T134" s="181"/>
      <c r="U134" s="182">
        <f>SUM(ACOAETME2022[[#This Row],[Claims: Hospital Inpatient]],ACOAETME2022[[#This Row],[Claims: Hospital Outpatient]],ACOAETME2022[[#This Row],[Claims: Professional, Primary Care]],ACOAETME2022[[#This Row],[Claims: Professional, Specialty Care]],ACOAETME2022[[#This Row],[Claims: Professional Other]],ACOAETME2022[[#This Row],[Claims: Pharmacy]],ACOAETME2022[[#This Row],[Claims: Long-Term Care]],ACOAETME2022[[#This Row],[Claims: Other]])</f>
        <v>0</v>
      </c>
      <c r="V134" s="182">
        <f>ACOAETME2022[[#This Row],[TOTAL Non-Truncated Unadjusted Claims Expenses]]-ACOAETME2022[[#This Row],[Total Claims Excluded because of Truncation]]</f>
        <v>0</v>
      </c>
      <c r="W134" s="182">
        <f>SUM(ACOAETME2022[[#This Row],[Non-Claims: Prospective Capitated, Prospective Global Budget, Prospective Case Rate, or Prospective Episode-Based Payments]],ACOAETME2022[[#This Row],[Non-Claims: Performance Incentive Payments]],ACOAETME2022[[#This Row],[Non-Claims: Payments to Support Population Health and Practice Infrastructure]],ACOAETME2022[[#This Row],[Non-Claims: Provider Salaries]],ACOAETME2022[[#This Row],[Non-Claims: Recoveries]],ACOAETME2022[[#This Row],[Non-Claims: Other]])</f>
        <v>0</v>
      </c>
      <c r="X134" s="182">
        <f>ACOAETME2022[[#This Row],[TOTAL Non-Truncated Unadjusted Claims Expenses]]+ACOAETME2022[[#This Row],[TOTAL Non-Claims Expenses]]</f>
        <v>0</v>
      </c>
      <c r="Y134" s="182">
        <f>ACOAETME2022[[#This Row],[TOTAL Truncated Unadjusted Claims Expenses (A19 - A17)]]+ACOAETME2022[[#This Row],[TOTAL Non-Claims Expenses]]</f>
        <v>0</v>
      </c>
      <c r="Z134" s="540" t="str">
        <f>IFERROR(ACOAETME2022[[#This Row],[TOTAL Non-Truncated Unadjusted Expenses 
(A19+A21)]]/ACOAETME2022[[#This Row],[Member Months]], "NA")</f>
        <v>NA</v>
      </c>
      <c r="AA134" s="232" t="str">
        <f>IFERROR(ACOAETME2022[[#This Row],[TOTAL Truncated Unadjusted Expenses (A20+A21)]]/ACOAETME2022[[#This Row],[Member Months]], "NA")</f>
        <v>NA</v>
      </c>
      <c r="AB134" s="504">
        <f>IFERROR(ACOAETME2022[[#This Row],[Total Claims Excluded because of Truncation]]/ACOAETME2022[[#This Row],[Count of Members with Claims Truncated]], 0)</f>
        <v>0</v>
      </c>
      <c r="AC134" s="508">
        <f>IFERROR(ACOAETME2022[[#This Row],[Total Claims Excluded because of Truncation]]/ACOAETME2022[[#This Row],[TOTAL Non-Truncated Unadjusted Claims Expenses]], 0)</f>
        <v>0</v>
      </c>
    </row>
  </sheetData>
  <sheetProtection algorithmName="SHA-512" hashValue="t1VVmgh6qcV5aUtAEbFsgRnNo1449710B17jLFKqn+EJW6VdXfOeGmB7aiwvH9rBp7D1uO8R9J+YVf5VdCHXUA==" saltValue="k7Lrhk18HjMFcanb6aeprA==" spinCount="100000" sheet="1" objects="1" scenarios="1" insertRows="0"/>
  <mergeCells count="3">
    <mergeCell ref="F4:G7"/>
    <mergeCell ref="I4:J7"/>
    <mergeCell ref="L4:M7"/>
  </mergeCells>
  <conditionalFormatting sqref="F4:G7">
    <cfRule type="notContainsText" dxfId="187" priority="5" operator="notContains" text="Good">
      <formula>ISERROR(SEARCH("Good",F4))</formula>
    </cfRule>
    <cfRule type="containsText" dxfId="186" priority="6" operator="containsText" text="Good">
      <formula>NOT(ISERROR(SEARCH("Good",F4)))</formula>
    </cfRule>
  </conditionalFormatting>
  <conditionalFormatting sqref="I4:J7">
    <cfRule type="notContainsText" dxfId="185" priority="3" operator="notContains" text="Good">
      <formula>ISERROR(SEARCH("Good",I4))</formula>
    </cfRule>
    <cfRule type="containsText" dxfId="184" priority="4" operator="containsText" text="Good">
      <formula>NOT(ISERROR(SEARCH("Good",I4)))</formula>
    </cfRule>
  </conditionalFormatting>
  <conditionalFormatting sqref="L4:M7">
    <cfRule type="notContainsText" dxfId="183" priority="1" operator="notContains" text="Good">
      <formula>ISERROR(SEARCH("Good",L4))</formula>
    </cfRule>
    <cfRule type="containsText" dxfId="182" priority="2" operator="containsText" text="Good">
      <formula>NOT(ISERROR(SEARCH("Good",L4)))</formula>
    </cfRule>
  </conditionalFormatting>
  <conditionalFormatting sqref="AB11:AB134">
    <cfRule type="cellIs" dxfId="181" priority="8" operator="greaterThanOrEqual">
      <formula>250000</formula>
    </cfRule>
  </conditionalFormatting>
  <conditionalFormatting sqref="AC11:AC134">
    <cfRule type="cellIs" dxfId="180" priority="7" operator="greaterThan">
      <formula>0.1</formula>
    </cfRule>
  </conditionalFormatting>
  <dataValidations xWindow="424" yWindow="265" count="20">
    <dataValidation type="decimal" operator="greaterThanOrEqual" allowBlank="1" showInputMessage="1" showErrorMessage="1" error="See &quot;Definitions&quot; tab._x000a_No negative values." prompt="See &quot;Definitions&quot; tab._x000a_No negative values._x000a_" sqref="S11:T134" xr:uid="{98AEA49F-FE3D-4ED7-AE0C-B7D8AF0EC3FC}">
      <formula1>0</formula1>
    </dataValidation>
    <dataValidation type="decimal" operator="greaterThanOrEqual" allowBlank="1" showInputMessage="1" showErrorMessage="1" error="See &quot;Definitions&quot; tab._x000a_No negative values." promptTitle="Non-Claims: Other" prompt="See &quot;Definitions&quot; tab._x000a_No negative values._x000a_" sqref="R11:R134" xr:uid="{B54126BF-28D1-45EC-AE5A-241F4142B80C}">
      <formula1>0</formula1>
    </dataValidation>
    <dataValidation type="decimal" operator="greaterThanOrEqual" allowBlank="1" showInputMessage="1" showErrorMessage="1" error="See &quot;Definitions&quot; tab._x000a_No negative values." promptTitle="Non-Claims: Provider Salaries" prompt="See &quot;Definitions&quot; tab._x000a_No negative values._x000a_" sqref="P11:P134" xr:uid="{B22F0327-8D32-4AF7-9CBA-6C4F27162A07}">
      <formula1>0</formula1>
    </dataValidation>
    <dataValidation type="decimal" operator="greaterThanOrEqual" allowBlank="1" showInputMessage="1" showErrorMessage="1" error="See &quot;Definitions&quot; tab._x000a_No negative values." promptTitle="Non-Claims: Perf Incent $" prompt="See &quot;Definitions&quot; tab._x000a_No negative values._x000a_" sqref="N31 N11" xr:uid="{1512DB2B-6615-4DF9-86A8-8D973D9561B6}">
      <formula1>0</formula1>
    </dataValidation>
    <dataValidation type="decimal" operator="greaterThanOrEqual" allowBlank="1" showInputMessage="1" showErrorMessage="1" error="See &quot;Definitions&quot; tab._x000a_No negative values." promptTitle="Non-Claims: $ to Supp Popln Hlth" prompt="See &quot;Definitions&quot; tab._x000a_No negative values._x000a_" sqref="O11:O134" xr:uid="{0BB8EC96-6D57-4792-808B-FEB4BD28BD65}">
      <formula1>0</formula1>
    </dataValidation>
    <dataValidation type="decimal" operator="greaterThanOrEqual" allowBlank="1" showInputMessage="1" showErrorMessage="1" error="See &quot;Definitions&quot; tab._x000a_No negative values." promptTitle="Non-Claims: Perf Incent Payments" prompt="See &quot;Definitions&quot; tab._x000a_No negative values._x000a_" sqref="N32:N134 N12:N30" xr:uid="{3BB84916-9824-4632-8C6F-D1F3E8FB1A55}">
      <formula1>0</formula1>
    </dataValidation>
    <dataValidation type="decimal" operator="greaterThanOrEqual" allowBlank="1" showInputMessage="1" showErrorMessage="1" error="See &quot;Definitions&quot; tab._x000a_No negative values." promptTitle="Non-Claims: Prosp Capitated, etc" prompt="See &quot;Definitions&quot; tab._x000a_No negative values._x000a_" sqref="M11:M134" xr:uid="{D4C59CAE-B0F2-4CEC-9155-5BCBF62649C4}">
      <formula1>0</formula1>
    </dataValidation>
    <dataValidation type="decimal" operator="greaterThanOrEqual" allowBlank="1" showInputMessage="1" showErrorMessage="1" error="See &quot;Definitions&quot; tab._x000a_No negative values." promptTitle="Claims: Other" prompt="See &quot;Definitions&quot; tab._x000a_No negative values._x000a_" sqref="L11:L134" xr:uid="{2F2454DF-3D54-4E68-BECA-4566B2F3B015}">
      <formula1>0</formula1>
    </dataValidation>
    <dataValidation type="decimal" operator="greaterThanOrEqual" allowBlank="1" showInputMessage="1" showErrorMessage="1" error="See &quot;Definitions&quot; tab._x000a_No negative values." promptTitle="Claims: Long-Term Care" prompt="See &quot;Definitions&quot; tab._x000a_No negative values._x000a_" sqref="K11:K134" xr:uid="{11733E45-226A-41C1-A46A-463C543B37CA}">
      <formula1>0</formula1>
    </dataValidation>
    <dataValidation type="decimal" operator="greaterThanOrEqual" allowBlank="1" showInputMessage="1" showErrorMessage="1" error="See &quot;Definitions&quot; tab._x000a_No negative values." promptTitle="Claims: Retail Pharmacy" prompt="See &quot;Definitions&quot; tab._x000a_No negative values._x000a_" sqref="J11:J134" xr:uid="{AE8F1A5C-07AC-481A-BC78-D0D8E1F20CA9}">
      <formula1>0</formula1>
    </dataValidation>
    <dataValidation type="decimal" operator="greaterThanOrEqual" allowBlank="1" showInputMessage="1" showErrorMessage="1" error="See &quot;Definitions&quot; tab._x000a_No negative values." promptTitle="Claims: Professional, Other" prompt="See &quot;Definitions&quot; tab._x000a_No negative values._x000a_" sqref="I11:I134" xr:uid="{2232109A-3ED2-46B0-B241-3ADE2C8BE775}">
      <formula1>0</formula1>
    </dataValidation>
    <dataValidation type="decimal" operator="greaterThanOrEqual" allowBlank="1" showInputMessage="1" showErrorMessage="1" error="See &quot;Definitions&quot; tab._x000a_No negative values." promptTitle="Claims: Professional, Specialty" prompt="See &quot;Definitions&quot; tab._x000a_No negative values._x000a_" sqref="H11:H134" xr:uid="{52A55903-7B1C-405B-A2AF-C4280E502274}">
      <formula1>0</formula1>
    </dataValidation>
    <dataValidation type="decimal" operator="greaterThanOrEqual" allowBlank="1" showInputMessage="1" showErrorMessage="1" error="See &quot;Definitions&quot; tab._x000a_No negative values." promptTitle="Claims: Professional, Primary Ca" prompt="See &quot;Definitions&quot; tab._x000a_No negative values._x000a_" sqref="G11:G134" xr:uid="{AE05916C-FAC1-4983-B19E-C9243B05FE0F}">
      <formula1>0</formula1>
    </dataValidation>
    <dataValidation type="decimal" operator="greaterThanOrEqual" allowBlank="1" showInputMessage="1" showErrorMessage="1" error="See &quot;Definitions&quot; tab._x000a_No negative values." promptTitle="Claims: Hospital Outpatient" prompt="See &quot;Definitions&quot; tab._x000a_No negative values._x000a_" sqref="F11:F134" xr:uid="{3D0CCC6A-FF61-4A0F-ADF3-9472224CB7A1}">
      <formula1>0</formula1>
    </dataValidation>
    <dataValidation type="decimal" operator="greaterThanOrEqual" allowBlank="1" showInputMessage="1" showErrorMessage="1" error="See &quot;Definitions&quot; tab._x000a_No negative values." promptTitle="Claims: Hospital Inpatient" prompt="See &quot;Definitions&quot; tab._x000a_No negative values._x000a_" sqref="E11:E134" xr:uid="{E03D33B4-0363-4CA0-90F7-36884F7B79FC}">
      <formula1>0</formula1>
    </dataValidation>
    <dataValidation type="decimal" allowBlank="1" showInputMessage="1" showErrorMessage="1" error="See &quot;Definitions&quot; tab._x000a_No negative values. Number must be between ‘0.0’ and ‘10’." promptTitle="Clinical Risk Score" prompt="See &quot;Definitions&quot; tab._x000a_No negative values. Number must be between ‘0.0’ and ‘10’." sqref="D11:D134" xr:uid="{A7ED7646-162B-4E5E-893C-EBA969DBBB01}">
      <formula1>0</formula1>
      <formula2>10</formula2>
    </dataValidation>
    <dataValidation allowBlank="1" showInputMessage="1" showErrorMessage="1" error="The number of unique members participating in a plan each month with a medical benefit, regardless of whether the member has any paid claims." promptTitle="Member Months" prompt="The number of unique members participating in a plan each month with a medical benefit, regardless of whether the member has any paid claims." sqref="C11:C134" xr:uid="{FDCB5412-B56A-4C75-94D3-D6B924600E3D}"/>
    <dataValidation type="whole" allowBlank="1" showInputMessage="1" showErrorMessage="1" error="Please input the OHIC-assigned organization ID of the ACO/AE." promptTitle="ACO/AE or Insurer Overall ID" prompt="Insurer Overall: 100_x000a_Blackstone Valley CHC: 101_x000a_Coastal Medical: 102_x000a_Integra Community Care Network: 103_x000a_Integrated Healthcare Partners: 104_x000a_Lifespan: 105_x000a_Providence CHC: 106_x000a_Prospect CharterCARE: 107_x000a_Thundermist: 108_x000a_Unattributed Members: 999" sqref="A11:A134" xr:uid="{042D37A6-9867-45D3-9878-10527E0849C5}">
      <formula1>100</formula1>
      <formula2>999</formula2>
    </dataValidation>
    <dataValidation type="whole" allowBlank="1" showInputMessage="1" showErrorMessage="1" error="Please input the insurance category being reported (see &quot;Reference Tables&quot; tab)." promptTitle="Insurance Category Code" prompt="1: Medicare &amp; Medicare Managed Care_x000a_2: Medicaid &amp; Medicaid Managed Care_x000a_3: Commerical: Full-Claims_x000a_4: Commercial: Partial-Adjusted_x000a_5: Medicare Exp. for Duals_x000a_6: Medicaid Exp. &amp; Medicaid Duals_x000a_7: Medicare/Medicaid Int. Duals_x000a_8: Other" sqref="B11:B134" xr:uid="{7EC1DF65-B7D1-49EB-94FC-4FCFE11FA689}">
      <formula1>1</formula1>
      <formula2>8</formula2>
    </dataValidation>
    <dataValidation type="decimal" operator="lessThanOrEqual" allowBlank="1" showInputMessage="1" showErrorMessage="1" error="See &quot;Definitions&quot; tab._x000a_Report as a negative number." promptTitle="Non-Claims: Recoveries" prompt="See &quot;Definitions&quot; tab._x000a_Report as a negative number." sqref="Q11:Q134" xr:uid="{6B4D0A4A-2DE8-42C9-89CC-BCD9AEDCF33D}">
      <formula1>0</formula1>
    </dataValidation>
  </dataValidations>
  <hyperlinks>
    <hyperlink ref="F3" location="Checks" display="Check for Member Months" xr:uid="{74F5356B-936F-43AE-A5CF-AC84F2C5FD04}"/>
    <hyperlink ref="I3" location="Checks" display="Check for Truncated and Non-Truncated Spending" xr:uid="{2872270D-A3C0-4F3A-B901-C8FCC88E6D84}"/>
    <hyperlink ref="L3" location="'ACO_AE - 2022'!AB10:AC134" display="Check for Average Truncated Claims Per Member" xr:uid="{C22216AB-E65C-43E6-8B0A-1E4B485CC485}"/>
  </hyperlinks>
  <pageMargins left="0.7" right="0.7" top="0.75" bottom="0.75" header="0.3" footer="0.3"/>
  <pageSetup orientation="portrait"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970FD-1A5A-4A94-A3F1-23B8EAABCDCF}">
  <sheetPr codeName="Sheet16">
    <tabColor theme="8"/>
  </sheetPr>
  <dimension ref="A1:D24"/>
  <sheetViews>
    <sheetView workbookViewId="0"/>
  </sheetViews>
  <sheetFormatPr defaultColWidth="9.1796875" defaultRowHeight="14.5" x14ac:dyDescent="0.35"/>
  <cols>
    <col min="1" max="4" width="29.7265625" customWidth="1"/>
  </cols>
  <sheetData>
    <row r="1" spans="1:4" x14ac:dyDescent="0.35">
      <c r="A1" s="1" t="s">
        <v>181</v>
      </c>
      <c r="B1" s="1"/>
    </row>
    <row r="2" spans="1:4" x14ac:dyDescent="0.35">
      <c r="A2" s="1" t="s">
        <v>524</v>
      </c>
      <c r="B2" s="1"/>
    </row>
    <row r="4" spans="1:4" x14ac:dyDescent="0.35">
      <c r="A4" t="s">
        <v>57</v>
      </c>
    </row>
    <row r="5" spans="1:4" x14ac:dyDescent="0.35">
      <c r="A5" s="139" t="s">
        <v>182</v>
      </c>
      <c r="B5" s="139"/>
    </row>
    <row r="6" spans="1:4" x14ac:dyDescent="0.35">
      <c r="A6" s="139"/>
      <c r="B6" s="139"/>
    </row>
    <row r="7" spans="1:4" x14ac:dyDescent="0.35">
      <c r="A7" s="139"/>
      <c r="B7" s="139"/>
    </row>
    <row r="8" spans="1:4" x14ac:dyDescent="0.35">
      <c r="A8" s="139"/>
      <c r="B8" s="139"/>
    </row>
    <row r="9" spans="1:4" x14ac:dyDescent="0.35">
      <c r="B9" s="3" t="s">
        <v>64</v>
      </c>
      <c r="C9" s="3" t="s">
        <v>65</v>
      </c>
      <c r="D9" s="3" t="s">
        <v>66</v>
      </c>
    </row>
    <row r="10" spans="1:4" s="146" customFormat="1" x14ac:dyDescent="0.35">
      <c r="A10" s="144" t="s">
        <v>3</v>
      </c>
      <c r="B10" s="191" t="s">
        <v>187</v>
      </c>
      <c r="C10" s="145" t="s">
        <v>188</v>
      </c>
      <c r="D10" s="206" t="s">
        <v>253</v>
      </c>
    </row>
    <row r="11" spans="1:4" x14ac:dyDescent="0.35">
      <c r="A11" s="175"/>
      <c r="B11" s="50"/>
      <c r="C11" s="50"/>
      <c r="D11" s="207">
        <f>RxRebates21[[#This Row],[Retail Pharmacy Rebates]]+RxRebates21[[#This Row],[Medical Pharmacy Rebates]]</f>
        <v>0</v>
      </c>
    </row>
    <row r="12" spans="1:4" x14ac:dyDescent="0.35">
      <c r="A12" s="175"/>
      <c r="B12" s="50"/>
      <c r="C12" s="50"/>
      <c r="D12" s="207">
        <f>RxRebates21[[#This Row],[Retail Pharmacy Rebates]]+RxRebates21[[#This Row],[Medical Pharmacy Rebates]]</f>
        <v>0</v>
      </c>
    </row>
    <row r="13" spans="1:4" x14ac:dyDescent="0.35">
      <c r="A13" s="175"/>
      <c r="B13" s="50"/>
      <c r="C13" s="50"/>
      <c r="D13" s="207">
        <f>RxRebates21[[#This Row],[Retail Pharmacy Rebates]]+RxRebates21[[#This Row],[Medical Pharmacy Rebates]]</f>
        <v>0</v>
      </c>
    </row>
    <row r="14" spans="1:4" x14ac:dyDescent="0.35">
      <c r="A14" s="175"/>
      <c r="B14" s="50"/>
      <c r="C14" s="50"/>
      <c r="D14" s="207">
        <f>RxRebates21[[#This Row],[Retail Pharmacy Rebates]]+RxRebates21[[#This Row],[Medical Pharmacy Rebates]]</f>
        <v>0</v>
      </c>
    </row>
    <row r="15" spans="1:4" x14ac:dyDescent="0.35">
      <c r="A15" s="175"/>
      <c r="B15" s="50"/>
      <c r="C15" s="50"/>
      <c r="D15" s="207">
        <f>RxRebates21[[#This Row],[Retail Pharmacy Rebates]]+RxRebates21[[#This Row],[Medical Pharmacy Rebates]]</f>
        <v>0</v>
      </c>
    </row>
    <row r="16" spans="1:4" x14ac:dyDescent="0.35">
      <c r="A16" s="175"/>
      <c r="B16" s="51"/>
      <c r="C16" s="51"/>
      <c r="D16" s="207">
        <f>RxRebates21[[#This Row],[Retail Pharmacy Rebates]]+RxRebates21[[#This Row],[Medical Pharmacy Rebates]]</f>
        <v>0</v>
      </c>
    </row>
    <row r="17" spans="1:4" x14ac:dyDescent="0.35">
      <c r="A17" s="175"/>
      <c r="B17" s="51"/>
      <c r="C17" s="51"/>
      <c r="D17" s="207">
        <f>RxRebates21[[#This Row],[Retail Pharmacy Rebates]]+RxRebates21[[#This Row],[Medical Pharmacy Rebates]]</f>
        <v>0</v>
      </c>
    </row>
    <row r="18" spans="1:4" x14ac:dyDescent="0.35">
      <c r="A18" s="175"/>
      <c r="B18" s="52"/>
      <c r="C18" s="52"/>
      <c r="D18" s="207">
        <f>RxRebates21[[#This Row],[Retail Pharmacy Rebates]]+RxRebates21[[#This Row],[Medical Pharmacy Rebates]]</f>
        <v>0</v>
      </c>
    </row>
    <row r="24" spans="1:4" ht="12.75" customHeight="1" x14ac:dyDescent="0.35"/>
  </sheetData>
  <sheetProtection algorithmName="SHA-512" hashValue="rmZAWsezwyGRfJ2su8rjZxi0OwkBUT0jkkC8ARApbOGhQR7Q00igpH/YcFwxL9kRgaGjJIwYbfhWgAvtnNKaOA==" saltValue="v2gEir+W3oTbeDnwKlogWQ==" spinCount="100000" sheet="1" objects="1" scenarios="1"/>
  <dataValidations count="4">
    <dataValidation type="decimal" operator="lessThanOrEqual" allowBlank="1" showInputMessage="1" showErrorMessage="1" error="See &quot;Definitions&quot; tab._x000a_Report as a negative value." prompt="See &quot;Definitions&quot; tab._x000a_Report as a negative value." sqref="D11:D18" xr:uid="{DFD2A446-8192-494B-B324-DD656A5E570C}">
      <formula1>0</formula1>
    </dataValidation>
    <dataValidation type="whole" allowBlank="1" showInputMessage="1" showErrorMessage="1" errorTitle="Invalid ICC" error="The code you entered is invalid. Please refer to the &quot;Definitions&quot; tab for a list of valid codes." promptTitle="Insurance Category Code" prompt="1: Medicare &amp; Medicare Managed Care_x000a_2: Medicaid &amp; Medicaid Managed Care_x000a_3: Commerical: Full-Claims_x000a_4: Commercial: Partial-Adjusted_x000a_5: Medicare Exp. for Duals_x000a_6: Medicaid Exp. &amp; Medicaid Duals_x000a_7: Medicare/Medicaid Int. Duals_x000a_8: Other" sqref="A11:A18" xr:uid="{8AA48F51-E62D-4B33-9C31-3C4A138F3F21}">
      <formula1>1</formula1>
      <formula2>8</formula2>
    </dataValidation>
    <dataValidation type="decimal" operator="lessThanOrEqual" allowBlank="1" showInputMessage="1" showErrorMessage="1" error="See &quot;Definitions&quot; tab._x000a_Report as a negative value." promptTitle="Retail Pharmacy Rebates" prompt="See &quot;Definitions&quot; tab._x000a_Report as a negative value." sqref="B11:B18" xr:uid="{D0D058D3-4181-4E9A-9A01-5C9E54547A4C}">
      <formula1>0</formula1>
    </dataValidation>
    <dataValidation type="decimal" operator="lessThanOrEqual" allowBlank="1" showInputMessage="1" showErrorMessage="1" error="See &quot;Definitions&quot; tab._x000a_Report as a negative value." promptTitle="Medical Pharmacy Rebates" prompt="See &quot;Definitions&quot; tab._x000a_Report as a negative value." sqref="C11:C18" xr:uid="{431D6112-FD39-4B98-826D-2349EB9777B9}">
      <formula1>0</formula1>
    </dataValidation>
  </dataValidations>
  <pageMargins left="0.7" right="0.7" top="0.75" bottom="0.75" header="0.3" footer="0.3"/>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26CC1A160F2C4E953D5C17456E6333" ma:contentTypeVersion="15" ma:contentTypeDescription="Create a new document." ma:contentTypeScope="" ma:versionID="b159ab1173f9cf84aa90719a6a1ea8e2">
  <xsd:schema xmlns:xsd="http://www.w3.org/2001/XMLSchema" xmlns:xs="http://www.w3.org/2001/XMLSchema" xmlns:p="http://schemas.microsoft.com/office/2006/metadata/properties" xmlns:ns2="3ca2d690-4b65-48b8-b367-984c1bbb45de" xmlns:ns3="d29a8555-db37-4257-91ea-e6d336cdedf2" targetNamespace="http://schemas.microsoft.com/office/2006/metadata/properties" ma:root="true" ma:fieldsID="ff5b17957f08a6add341b66b7e216eef" ns2:_="" ns3:_="">
    <xsd:import namespace="3ca2d690-4b65-48b8-b367-984c1bbb45de"/>
    <xsd:import namespace="d29a8555-db37-4257-91ea-e6d336cdedf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a2d690-4b65-48b8-b367-984c1bbb45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64c4022-8a08-492a-8fd9-63f32d90377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DateTaken" ma:index="21" nillable="true" ma:displayName="MediaServiceDateTaken" ma:hidden="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9a8555-db37-4257-91ea-e6d336cdedf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d20fe0fe-7f6e-40d9-b998-99db2d565673}" ma:internalName="TaxCatchAll" ma:showField="CatchAllData" ma:web="d29a8555-db37-4257-91ea-e6d336cdedf2">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29a8555-db37-4257-91ea-e6d336cdedf2" xsi:nil="true"/>
    <lcf76f155ced4ddcb4097134ff3c332f xmlns="3ca2d690-4b65-48b8-b367-984c1bbb45d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C60421-B11D-4B79-9A38-81CCD6FE9E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a2d690-4b65-48b8-b367-984c1bbb45de"/>
    <ds:schemaRef ds:uri="d29a8555-db37-4257-91ea-e6d336cded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972BC8B-BFF5-4C15-9C69-9329B096B366}">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b58c3a01-6d6f-4f2f-b2dd-2f5e471462df"/>
    <ds:schemaRef ds:uri="http://purl.org/dc/elements/1.1/"/>
    <ds:schemaRef ds:uri="http://schemas.microsoft.com/office/2006/metadata/properties"/>
    <ds:schemaRef ds:uri="d29a8555-db37-4257-91ea-e6d336cdedf2"/>
    <ds:schemaRef ds:uri="http://www.w3.org/XML/1998/namespace"/>
    <ds:schemaRef ds:uri="3ca2d690-4b65-48b8-b367-984c1bbb45de"/>
  </ds:schemaRefs>
</ds:datastoreItem>
</file>

<file path=customXml/itemProps3.xml><?xml version="1.0" encoding="utf-8"?>
<ds:datastoreItem xmlns:ds="http://schemas.openxmlformats.org/officeDocument/2006/customXml" ds:itemID="{2905D3B5-1811-4FE3-8AD6-B1E9EEA0A8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7</vt:i4>
      </vt:variant>
    </vt:vector>
  </HeadingPairs>
  <TitlesOfParts>
    <vt:vector size="26" baseType="lpstr">
      <vt:lpstr>Data Validation Backup</vt:lpstr>
      <vt:lpstr>Contents</vt:lpstr>
      <vt:lpstr>Reference Tables</vt:lpstr>
      <vt:lpstr>Definitions</vt:lpstr>
      <vt:lpstr>HD-TME - 2021</vt:lpstr>
      <vt:lpstr>HD-TME - 2022</vt:lpstr>
      <vt:lpstr>ACO_AE - 2021</vt:lpstr>
      <vt:lpstr>ACO_AE - 2022</vt:lpstr>
      <vt:lpstr>Rx Rebates - 2021</vt:lpstr>
      <vt:lpstr>Rx Rebates - 2022</vt:lpstr>
      <vt:lpstr>LOB Enrollment</vt:lpstr>
      <vt:lpstr>Standard Deviation - 2021</vt:lpstr>
      <vt:lpstr>Standard Deviation - 2022</vt:lpstr>
      <vt:lpstr>Age_Sex Factors - 2021</vt:lpstr>
      <vt:lpstr>Age_Sex Factors - 2022</vt:lpstr>
      <vt:lpstr>Mandatory Questions</vt:lpstr>
      <vt:lpstr>Validation by Market</vt:lpstr>
      <vt:lpstr>Validation by ACO_AE</vt:lpstr>
      <vt:lpstr>Data Validation</vt:lpstr>
      <vt:lpstr>ACOAE_MMs</vt:lpstr>
      <vt:lpstr>Checks</vt:lpstr>
      <vt:lpstr>MMConsistencyICC</vt:lpstr>
      <vt:lpstr>MMConsistencyMkt</vt:lpstr>
      <vt:lpstr>ReasonablePMPMs</vt:lpstr>
      <vt:lpstr>TruncSpendMMsbyICC</vt:lpstr>
      <vt:lpstr>TruncSpendSDbyMkt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Deepti Kanneganti</dc:creator>
  <cp:keywords/>
  <dc:description/>
  <cp:lastModifiedBy>Jessica Mar</cp:lastModifiedBy>
  <cp:revision/>
  <dcterms:created xsi:type="dcterms:W3CDTF">2014-03-21T15:16:19Z</dcterms:created>
  <dcterms:modified xsi:type="dcterms:W3CDTF">2023-07-28T19:23:58Z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0x0101006026CC1A160F2C4E953D5C17456E6333</vt:lpwstr>
  </property>
  <property fmtid="{D5CDD505-2E9C-101B-9397-08002B2CF9AE}" pid="3" name="AuthorIds_UIVersion_1024">
    <vt:lpwstr>17</vt:lpwstr>
  </property>
  <property fmtid="{D5CDD505-2E9C-101B-9397-08002B2CF9AE}" pid="4" name="AuthorIds_UIVersion_2048">
    <vt:lpwstr>22</vt:lpwstr>
  </property>
  <property fmtid="{D5CDD505-2E9C-101B-9397-08002B2CF9AE}" pid="5" name="AuthorIds_UIVersion_512">
    <vt:lpwstr>17</vt:lpwstr>
  </property>
  <property fmtid="{D5CDD505-2E9C-101B-9397-08002B2CF9AE}" pid="6" name="MediaServiceImageTags">
    <vt:lpwstr/>
  </property>
</Properties>
</file>